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195" windowWidth="9135" windowHeight="4380" tabRatio="885" firstSheet="94" activeTab="100"/>
  </bookViews>
  <sheets>
    <sheet name="PORTADA" sheetId="129" r:id="rId1"/>
    <sheet name="AMPLIACION" sheetId="130" r:id="rId2"/>
    <sheet name="Hoja3" sheetId="131" r:id="rId3"/>
    <sheet name="Hoja1" sheetId="132" r:id="rId4"/>
    <sheet name="ADQUISICIÓN" sheetId="133" r:id="rId5"/>
    <sheet name="Hoja4" sheetId="134" r:id="rId6"/>
    <sheet name="UTILES DE OFICINA" sheetId="1" r:id="rId7"/>
    <sheet name="PUBLICIDAD" sheetId="86" r:id="rId8"/>
    <sheet name="ASEO Y CAFETERIA" sheetId="3" r:id="rId9"/>
    <sheet name="CANECAS DE TAPA" sheetId="4" r:id="rId10"/>
    <sheet name="CANECAS DE PEDAL" sheetId="6" r:id="rId11"/>
    <sheet name="ESTIBAS" sheetId="5" r:id="rId12"/>
    <sheet name="DOTACION BRIGADISTAS" sheetId="8" r:id="rId13"/>
    <sheet name="MUEBLES Y ENSERES" sheetId="9" r:id="rId14"/>
    <sheet name="MUEBLES Y ENSERES II " sheetId="101" r:id="rId15"/>
    <sheet name="MUEBLES Y ENSERES III" sheetId="89" r:id="rId16"/>
    <sheet name="EXTINTORES I" sheetId="10" r:id="rId17"/>
    <sheet name="BOTIQUIN" sheetId="102" r:id="rId18"/>
    <sheet name="BOTIQUIN II" sheetId="104" r:id="rId19"/>
    <sheet name="BOTIQUIN III" sheetId="103" r:id="rId20"/>
    <sheet name="VEHICULOS NUEVOS Y AMBULANCIAS" sheetId="12" r:id="rId21"/>
    <sheet name="DOTACION AMBULANCIAS" sheetId="14" r:id="rId22"/>
    <sheet name="COMPUTO " sheetId="15" r:id="rId23"/>
    <sheet name="COMPUTO  II" sheetId="99" r:id="rId24"/>
    <sheet name="COMPUTO  III" sheetId="98" r:id="rId25"/>
    <sheet name="29. EQUIPOS DE COMUNICACION" sheetId="16" r:id="rId26"/>
    <sheet name="30. VEHICULOS PARA LAS IPS Y SA" sheetId="17" r:id="rId27"/>
    <sheet name="31. ROPA DE MAYO I " sheetId="90" r:id="rId28"/>
    <sheet name="31. ROPA DE MAYO  II" sheetId="105" r:id="rId29"/>
    <sheet name="31. ROPA DE MAYO " sheetId="18" r:id="rId30"/>
    <sheet name="32. REPUESTOSEQUIPOS BIOMEDICOS" sheetId="19" r:id="rId31"/>
    <sheet name="33 Y 34 REPS EQUIPOS ODONTOLOG" sheetId="20" r:id="rId32"/>
    <sheet name="35. INSUMOS VEHICULOS" sheetId="21" r:id="rId33"/>
    <sheet name="36.37 EQUIPOS MEDICOS" sheetId="22" r:id="rId34"/>
    <sheet name="38.39 EQUIPOS MEDICOS II" sheetId="23" r:id="rId35"/>
    <sheet name="40.41 EQUIPOS MEDICOS III" sheetId="24" r:id="rId36"/>
    <sheet name="40.41 EQUIPOS MEDICOS IV" sheetId="87" r:id="rId37"/>
    <sheet name="40.41 EQUIPOS MEDICOS V" sheetId="92" r:id="rId38"/>
    <sheet name="42. EQUIPOS LABORATORIO" sheetId="25" r:id="rId39"/>
    <sheet name="43. 44.EQU. INSTR. ODONTOLOGIA" sheetId="26" r:id="rId40"/>
    <sheet name="43. 44.EQU. INSTR. ODONTOLO II" sheetId="97" r:id="rId41"/>
    <sheet name="46. AIRES ACONDICIONADOS" sheetId="28" r:id="rId42"/>
    <sheet name="47. MANEJO DE PLAGAS" sheetId="29" r:id="rId43"/>
    <sheet name="48. OXIGENO" sheetId="30" r:id="rId44"/>
    <sheet name="49. BOTELLONES DE AGUA" sheetId="31" r:id="rId45"/>
    <sheet name="50. CARROTANQUES" sheetId="32" r:id="rId46"/>
    <sheet name="52. VIGILANCIA" sheetId="33" r:id="rId47"/>
    <sheet name="54. SEGUROS" sheetId="34" r:id="rId48"/>
    <sheet name="55. SEGUROS" sheetId="35" r:id="rId49"/>
    <sheet name="MANT. GRAL MAT" sheetId="83" r:id="rId50"/>
    <sheet name="58.59.60. MANTENIMIENTO" sheetId="36" r:id="rId51"/>
    <sheet name="61.62INSUMOS MANTTO ELECTRICO" sheetId="37" r:id="rId52"/>
    <sheet name="ELECTRICOS II" sheetId="38" r:id="rId53"/>
    <sheet name="AIRES Y NEVERAS" sheetId="39" r:id="rId54"/>
    <sheet name="EQUIPOS MEDICOS " sheetId="106" r:id="rId55"/>
    <sheet name="MUEBLES-ENSERES" sheetId="41" r:id="rId56"/>
    <sheet name="EXTINTORES (2)" sheetId="100" r:id="rId57"/>
    <sheet name="70.71 " sheetId="88" r:id="rId58"/>
    <sheet name="72.73" sheetId="43" r:id="rId59"/>
    <sheet name="74.75" sheetId="44" r:id="rId60"/>
    <sheet name="76" sheetId="45" r:id="rId61"/>
    <sheet name="77" sheetId="46" r:id="rId62"/>
    <sheet name="78.79" sheetId="47" r:id="rId63"/>
    <sheet name="80" sheetId="48" r:id="rId64"/>
    <sheet name="81" sheetId="49" r:id="rId65"/>
    <sheet name="82" sheetId="50" r:id="rId66"/>
    <sheet name="83" sheetId="51" r:id="rId67"/>
    <sheet name="84" sheetId="52" r:id="rId68"/>
    <sheet name="MANT. GRAL M.O" sheetId="107" r:id="rId69"/>
    <sheet name="MTTO M.O" sheetId="108" r:id="rId70"/>
    <sheet name="ELECTRICOS M.O " sheetId="109" r:id="rId71"/>
    <sheet name="ELECTRICOS M.O II " sheetId="110" r:id="rId72"/>
    <sheet name="AIRES Y NEVERAS M.O" sheetId="111" r:id="rId73"/>
    <sheet name="EQUIPOS MEDICOS  M.O" sheetId="112" r:id="rId74"/>
    <sheet name="MUEBLES-ENSERES M.O" sheetId="113" r:id="rId75"/>
    <sheet name="EXTINTORES M.O" sheetId="114" r:id="rId76"/>
    <sheet name="70.71  (2)" sheetId="115" r:id="rId77"/>
    <sheet name="72.73 (2)" sheetId="116" r:id="rId78"/>
    <sheet name="74.75 (2)" sheetId="117" r:id="rId79"/>
    <sheet name="76 (2)" sheetId="118" r:id="rId80"/>
    <sheet name="77 (2)" sheetId="119" r:id="rId81"/>
    <sheet name="78.79 (2)" sheetId="120" r:id="rId82"/>
    <sheet name="80 (2)" sheetId="121" r:id="rId83"/>
    <sheet name="81 (2)" sheetId="122" r:id="rId84"/>
    <sheet name="82 (2)" sheetId="123" r:id="rId85"/>
    <sheet name="83 (2)" sheetId="124" r:id="rId86"/>
    <sheet name="84 (2)" sheetId="125" r:id="rId87"/>
    <sheet name="RESUMEN " sheetId="126" r:id="rId88"/>
    <sheet name="RESUMEN" sheetId="127" r:id="rId89"/>
    <sheet name="114 DOTACION" sheetId="72" r:id="rId90"/>
    <sheet name="116. RESUMEN" sheetId="73" r:id="rId91"/>
    <sheet name="INSUMOS GRAL" sheetId="128" r:id="rId92"/>
    <sheet name="117.118.119.ICAMENTOS URGENCIAS" sheetId="74" r:id="rId93"/>
    <sheet name="120.121.122" sheetId="75" r:id="rId94"/>
    <sheet name="123.124" sheetId="76" r:id="rId95"/>
    <sheet name="INSUMOS LABORATORIO" sheetId="77" r:id="rId96"/>
    <sheet name="INSUMOS QUIMICA LAB" sheetId="93" r:id="rId97"/>
    <sheet name="HEMATOLOGIA" sheetId="78" r:id="rId98"/>
    <sheet name="ESTERILIZANTES" sheetId="79" r:id="rId99"/>
    <sheet name="VACUNACION" sheetId="80" r:id="rId100"/>
    <sheet name="Hoja40" sheetId="81" r:id="rId101"/>
    <sheet name="CORRECCION EQUIPOS MEDICOS" sheetId="82" r:id="rId102"/>
  </sheets>
  <definedNames>
    <definedName name="_GoBack" localSheetId="22">'COMPUTO '!#REF!</definedName>
    <definedName name="_GoBack" localSheetId="23">'COMPUTO  II'!#REF!</definedName>
    <definedName name="_GoBack" localSheetId="24">'COMPUTO  III'!#REF!</definedName>
  </definedNames>
  <calcPr calcId="144525"/>
</workbook>
</file>

<file path=xl/calcChain.xml><?xml version="1.0" encoding="utf-8"?>
<calcChain xmlns="http://schemas.openxmlformats.org/spreadsheetml/2006/main">
  <c r="C29" i="134" l="1"/>
  <c r="D35" i="132"/>
  <c r="E35" i="132" s="1"/>
  <c r="D6" i="132"/>
  <c r="E6" i="132"/>
  <c r="D7" i="132"/>
  <c r="E7" i="132" s="1"/>
  <c r="D8" i="132"/>
  <c r="E8" i="132" s="1"/>
  <c r="D9" i="132"/>
  <c r="E9" i="132" s="1"/>
  <c r="D10" i="132"/>
  <c r="E10" i="132" s="1"/>
  <c r="C11" i="132"/>
  <c r="D11" i="132" s="1"/>
  <c r="E11" i="132" s="1"/>
  <c r="F5" i="132" s="1"/>
  <c r="D13" i="132"/>
  <c r="E13" i="132" s="1"/>
  <c r="D14" i="132"/>
  <c r="E14" i="132" s="1"/>
  <c r="D15" i="132"/>
  <c r="E15" i="132" s="1"/>
  <c r="D16" i="132"/>
  <c r="E16" i="132" s="1"/>
  <c r="C17" i="132"/>
  <c r="D17" i="132" s="1"/>
  <c r="E17" i="132" s="1"/>
  <c r="D19" i="132"/>
  <c r="E19" i="132" s="1"/>
  <c r="D20" i="132"/>
  <c r="E20" i="132" s="1"/>
  <c r="D21" i="132"/>
  <c r="E21" i="132" s="1"/>
  <c r="D22" i="132"/>
  <c r="E22" i="132" s="1"/>
  <c r="C23" i="132"/>
  <c r="D23" i="132" s="1"/>
  <c r="E23" i="132" s="1"/>
  <c r="D25" i="132"/>
  <c r="E25" i="132" s="1"/>
  <c r="D26" i="132"/>
  <c r="E26" i="132" s="1"/>
  <c r="D27" i="132"/>
  <c r="E27" i="132" s="1"/>
  <c r="C28" i="132"/>
  <c r="D28" i="132" s="1"/>
  <c r="E28" i="132" s="1"/>
  <c r="D30" i="132"/>
  <c r="E30" i="132" s="1"/>
  <c r="D31" i="132"/>
  <c r="E31" i="132" s="1"/>
  <c r="C32" i="132"/>
  <c r="D32" i="132" s="1"/>
  <c r="E32" i="132" s="1"/>
  <c r="C36" i="132"/>
  <c r="D36" i="132" s="1"/>
  <c r="E36" i="132" s="1"/>
  <c r="D38" i="132"/>
  <c r="E38" i="132" s="1"/>
  <c r="D39" i="132"/>
  <c r="E39" i="132" s="1"/>
  <c r="C40" i="132"/>
  <c r="D40" i="132" s="1"/>
  <c r="E40" i="132" s="1"/>
  <c r="D42" i="132"/>
  <c r="E42" i="132" s="1"/>
  <c r="C43" i="132"/>
  <c r="D43" i="132" s="1"/>
  <c r="E43" i="132" s="1"/>
  <c r="D45" i="132"/>
  <c r="E45" i="132" s="1"/>
  <c r="D46" i="132"/>
  <c r="E46" i="132" s="1"/>
  <c r="C47" i="132"/>
  <c r="D47" i="132" s="1"/>
  <c r="D50" i="132"/>
  <c r="E50" i="132" s="1"/>
  <c r="C51" i="132"/>
  <c r="D51" i="132" s="1"/>
  <c r="E51" i="132" s="1"/>
  <c r="D53" i="132"/>
  <c r="E53" i="132" s="1"/>
  <c r="C54" i="132"/>
  <c r="D54" i="132" s="1"/>
  <c r="E54" i="132" s="1"/>
  <c r="D56" i="132"/>
  <c r="E56" i="132" s="1"/>
  <c r="D57" i="132"/>
  <c r="E57" i="132" s="1"/>
  <c r="C58" i="132"/>
  <c r="D58" i="132" s="1"/>
  <c r="D60" i="132"/>
  <c r="E60" i="132" s="1"/>
  <c r="C61" i="132"/>
  <c r="D61" i="132" s="1"/>
  <c r="E61" i="132" s="1"/>
  <c r="D63" i="132"/>
  <c r="E63" i="132" s="1"/>
  <c r="D64" i="132"/>
  <c r="E64" i="132" s="1"/>
  <c r="C65" i="132"/>
  <c r="D65" i="132" s="1"/>
  <c r="D68" i="132"/>
  <c r="E68" i="132" s="1"/>
  <c r="D69" i="132"/>
  <c r="E69" i="132" s="1"/>
  <c r="D70" i="132"/>
  <c r="E70" i="132" s="1"/>
  <c r="D71" i="132"/>
  <c r="E71" i="132" s="1"/>
  <c r="D72" i="132"/>
  <c r="E72" i="132" s="1"/>
  <c r="D73" i="132"/>
  <c r="E73" i="132" s="1"/>
  <c r="D74" i="132"/>
  <c r="E74" i="132" s="1"/>
  <c r="D75" i="132"/>
  <c r="E75" i="132" s="1"/>
  <c r="D76" i="132"/>
  <c r="E76" i="132" s="1"/>
  <c r="D77" i="132"/>
  <c r="E77" i="132" s="1"/>
  <c r="D78" i="132"/>
  <c r="E78" i="132" s="1"/>
  <c r="D79" i="132"/>
  <c r="E79" i="132" s="1"/>
  <c r="D80" i="132"/>
  <c r="E80" i="132" s="1"/>
  <c r="D81" i="132"/>
  <c r="E81" i="132" s="1"/>
  <c r="C82" i="132"/>
  <c r="F34" i="132" l="1"/>
  <c r="D82" i="132"/>
  <c r="E82" i="132"/>
  <c r="F59" i="132"/>
  <c r="F52" i="132"/>
  <c r="F48" i="132"/>
  <c r="F41" i="132"/>
  <c r="F37" i="132"/>
  <c r="F29" i="132"/>
  <c r="F24" i="132"/>
  <c r="F18" i="132"/>
  <c r="F12" i="132"/>
  <c r="E65" i="132"/>
  <c r="F62" i="132" s="1"/>
  <c r="E58" i="132"/>
  <c r="F55" i="132" s="1"/>
  <c r="E47" i="132"/>
  <c r="F44" i="132" s="1"/>
  <c r="F67" i="132" l="1"/>
  <c r="F83" i="132"/>
  <c r="C9" i="131"/>
  <c r="D20" i="128" l="1"/>
  <c r="G27" i="80" l="1"/>
  <c r="G28" i="80"/>
  <c r="G29" i="80"/>
  <c r="G23" i="80"/>
  <c r="G22" i="80"/>
  <c r="G18" i="80"/>
  <c r="G9" i="80"/>
  <c r="G16" i="79" l="1"/>
  <c r="G15" i="79"/>
  <c r="G14" i="79"/>
  <c r="G13" i="79"/>
  <c r="G12" i="79"/>
  <c r="G11" i="79"/>
  <c r="G10" i="79"/>
  <c r="G9" i="79"/>
  <c r="G8" i="79"/>
  <c r="G7" i="79"/>
  <c r="G6" i="79"/>
  <c r="G17" i="79" l="1"/>
  <c r="D11" i="72"/>
  <c r="E25" i="127" l="1"/>
  <c r="E25" i="126"/>
  <c r="I11" i="125"/>
  <c r="G17" i="124"/>
  <c r="F18" i="123"/>
  <c r="L20" i="122"/>
  <c r="P26" i="121"/>
  <c r="V45" i="120"/>
  <c r="P32" i="119"/>
  <c r="P48" i="118"/>
  <c r="N52" i="117"/>
  <c r="Q53" i="116"/>
  <c r="J18" i="114"/>
  <c r="N51" i="113"/>
  <c r="T50" i="112"/>
  <c r="M54" i="111"/>
  <c r="M57" i="110"/>
  <c r="D81" i="108"/>
  <c r="H9" i="125"/>
  <c r="F9" i="125"/>
  <c r="D9" i="125"/>
  <c r="I9" i="125" s="1"/>
  <c r="I10" i="125" s="1"/>
  <c r="I8" i="125"/>
  <c r="F15" i="124"/>
  <c r="E15" i="124"/>
  <c r="G15" i="124" s="1"/>
  <c r="G16" i="124" s="1"/>
  <c r="D15" i="124"/>
  <c r="G14" i="124"/>
  <c r="G13" i="124"/>
  <c r="G12" i="124"/>
  <c r="G11" i="124"/>
  <c r="G10" i="124"/>
  <c r="G9" i="124"/>
  <c r="E16" i="123"/>
  <c r="D16" i="123"/>
  <c r="C16" i="123"/>
  <c r="F16" i="123" s="1"/>
  <c r="F15" i="123"/>
  <c r="F13" i="123"/>
  <c r="F12" i="123"/>
  <c r="K18" i="122"/>
  <c r="J18" i="122"/>
  <c r="I18" i="122"/>
  <c r="H18" i="122"/>
  <c r="G18" i="122"/>
  <c r="F18" i="122"/>
  <c r="E18" i="122"/>
  <c r="D18" i="122"/>
  <c r="L19" i="122" s="1"/>
  <c r="L17" i="122"/>
  <c r="L16" i="122"/>
  <c r="L15" i="122"/>
  <c r="L14" i="122"/>
  <c r="L13" i="122"/>
  <c r="L12" i="122"/>
  <c r="L18" i="122" s="1"/>
  <c r="O24" i="121"/>
  <c r="N24" i="121"/>
  <c r="M24" i="121"/>
  <c r="L24" i="121"/>
  <c r="K24" i="121"/>
  <c r="J24" i="121"/>
  <c r="I24" i="121"/>
  <c r="H24" i="121"/>
  <c r="G24" i="121"/>
  <c r="F24" i="121"/>
  <c r="E24" i="121"/>
  <c r="D24" i="121"/>
  <c r="P25" i="121" s="1"/>
  <c r="P23" i="121"/>
  <c r="P22" i="121"/>
  <c r="P21" i="121"/>
  <c r="P20" i="121"/>
  <c r="P19" i="121"/>
  <c r="P18" i="121"/>
  <c r="P17" i="121"/>
  <c r="P16" i="121"/>
  <c r="P15" i="121"/>
  <c r="P14" i="121"/>
  <c r="P24" i="121" s="1"/>
  <c r="U43" i="120"/>
  <c r="V44" i="120" s="1"/>
  <c r="T43" i="120"/>
  <c r="S43" i="120"/>
  <c r="R43" i="120"/>
  <c r="Q43" i="120"/>
  <c r="P43" i="120"/>
  <c r="O43" i="120"/>
  <c r="N43" i="120"/>
  <c r="M43" i="120"/>
  <c r="L43" i="120"/>
  <c r="K43" i="120"/>
  <c r="J43" i="120"/>
  <c r="I43" i="120"/>
  <c r="H43" i="120"/>
  <c r="G43" i="120"/>
  <c r="F43" i="120"/>
  <c r="V42" i="120"/>
  <c r="V41" i="120"/>
  <c r="V40" i="120"/>
  <c r="V39" i="120"/>
  <c r="V38" i="120"/>
  <c r="V37" i="120"/>
  <c r="V36" i="120"/>
  <c r="V35" i="120"/>
  <c r="V34" i="120"/>
  <c r="V33" i="120"/>
  <c r="V32" i="120"/>
  <c r="V31" i="120"/>
  <c r="V30" i="120"/>
  <c r="V29" i="120"/>
  <c r="V28" i="120"/>
  <c r="V27" i="120"/>
  <c r="V26" i="120"/>
  <c r="V25" i="120"/>
  <c r="V24" i="120"/>
  <c r="V23" i="120"/>
  <c r="V22" i="120"/>
  <c r="V21" i="120"/>
  <c r="V20" i="120"/>
  <c r="V19" i="120"/>
  <c r="V18" i="120"/>
  <c r="V17" i="120"/>
  <c r="V16" i="120"/>
  <c r="V15" i="120"/>
  <c r="V14" i="120"/>
  <c r="V13" i="120"/>
  <c r="V12" i="120"/>
  <c r="V11" i="120"/>
  <c r="V10" i="120"/>
  <c r="V9" i="120"/>
  <c r="V8" i="120"/>
  <c r="V7" i="120"/>
  <c r="V43" i="120" s="1"/>
  <c r="V6" i="120"/>
  <c r="O30" i="119"/>
  <c r="N30" i="119"/>
  <c r="M30" i="119"/>
  <c r="L30" i="119"/>
  <c r="K30" i="119"/>
  <c r="J30" i="119"/>
  <c r="I30" i="119"/>
  <c r="H30" i="119"/>
  <c r="G30" i="119"/>
  <c r="F30" i="119"/>
  <c r="E30" i="119"/>
  <c r="D30" i="119"/>
  <c r="P31" i="119" s="1"/>
  <c r="P29" i="119"/>
  <c r="P28" i="119"/>
  <c r="P27" i="119"/>
  <c r="P26" i="119"/>
  <c r="P25" i="119"/>
  <c r="P24" i="119"/>
  <c r="P23" i="119"/>
  <c r="P22" i="119"/>
  <c r="P21" i="119"/>
  <c r="P20" i="119"/>
  <c r="P19" i="119"/>
  <c r="P18" i="119"/>
  <c r="P17" i="119"/>
  <c r="P16" i="119"/>
  <c r="P15" i="119"/>
  <c r="P14" i="119"/>
  <c r="P13" i="119"/>
  <c r="P12" i="119"/>
  <c r="P11" i="119"/>
  <c r="P10" i="119"/>
  <c r="P9" i="119"/>
  <c r="P8" i="119"/>
  <c r="P7" i="119"/>
  <c r="P6" i="119"/>
  <c r="P30" i="119" s="1"/>
  <c r="O44" i="118"/>
  <c r="N44" i="118"/>
  <c r="M44" i="118"/>
  <c r="L44" i="118"/>
  <c r="K44" i="118"/>
  <c r="J44" i="118"/>
  <c r="I44" i="118"/>
  <c r="H44" i="118"/>
  <c r="G44" i="118"/>
  <c r="F44" i="118"/>
  <c r="E44" i="118"/>
  <c r="D44" i="118"/>
  <c r="P43" i="118"/>
  <c r="P42" i="118"/>
  <c r="P41" i="118"/>
  <c r="P40" i="118"/>
  <c r="P39" i="118"/>
  <c r="P38" i="118"/>
  <c r="P37" i="118"/>
  <c r="P36" i="118"/>
  <c r="P35" i="118"/>
  <c r="P34" i="118"/>
  <c r="P33" i="118"/>
  <c r="P32" i="118"/>
  <c r="P31" i="118"/>
  <c r="P30" i="118"/>
  <c r="P29" i="118"/>
  <c r="P28" i="118"/>
  <c r="P27" i="118"/>
  <c r="P26" i="118"/>
  <c r="P25" i="118"/>
  <c r="P24" i="118"/>
  <c r="P23" i="118"/>
  <c r="P22" i="118"/>
  <c r="P21" i="118"/>
  <c r="P20" i="118"/>
  <c r="P19" i="118"/>
  <c r="P18" i="118"/>
  <c r="P17" i="118"/>
  <c r="P16" i="118"/>
  <c r="P15" i="118"/>
  <c r="P14" i="118"/>
  <c r="P13" i="118"/>
  <c r="P12" i="118"/>
  <c r="P11" i="118"/>
  <c r="P10" i="118"/>
  <c r="P9" i="118"/>
  <c r="P8" i="118"/>
  <c r="P7" i="118"/>
  <c r="P6" i="118"/>
  <c r="P44" i="118" s="1"/>
  <c r="P45" i="118" s="1"/>
  <c r="P46" i="118" s="1"/>
  <c r="P47" i="118" s="1"/>
  <c r="M49" i="117"/>
  <c r="L49" i="117"/>
  <c r="K49" i="117"/>
  <c r="J49" i="117"/>
  <c r="I49" i="117"/>
  <c r="H49" i="117"/>
  <c r="G49" i="117"/>
  <c r="F49" i="117"/>
  <c r="E49" i="117"/>
  <c r="D49" i="117"/>
  <c r="N48" i="117"/>
  <c r="N47" i="117"/>
  <c r="N46" i="117"/>
  <c r="N45" i="117"/>
  <c r="N44" i="117"/>
  <c r="N43" i="117"/>
  <c r="N42" i="117"/>
  <c r="N41" i="117"/>
  <c r="N40" i="117"/>
  <c r="N39" i="117"/>
  <c r="N38" i="117"/>
  <c r="N37" i="117"/>
  <c r="N36" i="117"/>
  <c r="N35" i="117"/>
  <c r="N34" i="117"/>
  <c r="N33" i="117"/>
  <c r="N32" i="117"/>
  <c r="N27" i="117"/>
  <c r="N26" i="117"/>
  <c r="N25" i="117"/>
  <c r="N24" i="117"/>
  <c r="N23" i="117"/>
  <c r="N22" i="117"/>
  <c r="N21" i="117"/>
  <c r="N20" i="117"/>
  <c r="N19" i="117"/>
  <c r="N18" i="117"/>
  <c r="N17" i="117"/>
  <c r="N16" i="117"/>
  <c r="N15" i="117"/>
  <c r="N14" i="117"/>
  <c r="N13" i="117"/>
  <c r="N12" i="117"/>
  <c r="N11" i="117"/>
  <c r="N10" i="117"/>
  <c r="N9" i="117"/>
  <c r="N8" i="117"/>
  <c r="N7" i="117"/>
  <c r="N6" i="117"/>
  <c r="N5" i="117"/>
  <c r="N49" i="117" s="1"/>
  <c r="P49" i="116"/>
  <c r="O49" i="116"/>
  <c r="N49" i="116"/>
  <c r="M49" i="116"/>
  <c r="L49" i="116"/>
  <c r="K49" i="116"/>
  <c r="J49" i="116"/>
  <c r="I49" i="116"/>
  <c r="H49" i="116"/>
  <c r="G49" i="116"/>
  <c r="F49" i="116"/>
  <c r="E49" i="116"/>
  <c r="D49" i="116"/>
  <c r="Q48" i="116"/>
  <c r="Q47" i="116"/>
  <c r="Q46" i="116"/>
  <c r="Q45" i="116"/>
  <c r="Q44" i="116"/>
  <c r="Q43" i="116"/>
  <c r="Q42" i="116"/>
  <c r="Q41" i="116"/>
  <c r="Q40" i="116"/>
  <c r="Q39" i="116"/>
  <c r="Q38" i="116"/>
  <c r="Q37" i="116"/>
  <c r="Q36" i="116"/>
  <c r="Q35" i="116"/>
  <c r="Q34" i="116"/>
  <c r="Q33" i="116"/>
  <c r="Q32" i="116"/>
  <c r="Q31" i="116"/>
  <c r="Q30" i="116"/>
  <c r="Q29" i="116"/>
  <c r="Q28" i="116"/>
  <c r="Q23" i="116"/>
  <c r="Q22" i="116"/>
  <c r="Q21" i="116"/>
  <c r="Q20" i="116"/>
  <c r="Q19" i="116"/>
  <c r="Q18" i="116"/>
  <c r="Q17" i="116"/>
  <c r="Q16" i="116"/>
  <c r="Q15" i="116"/>
  <c r="Q14" i="116"/>
  <c r="Q13" i="116"/>
  <c r="Q12" i="116"/>
  <c r="Q11" i="116"/>
  <c r="Q10" i="116"/>
  <c r="Q9" i="116"/>
  <c r="Q8" i="116"/>
  <c r="Q7" i="116"/>
  <c r="Q6" i="116"/>
  <c r="Q5" i="116"/>
  <c r="Q49" i="116" s="1"/>
  <c r="M49" i="115"/>
  <c r="L49" i="115"/>
  <c r="K49" i="115"/>
  <c r="J49" i="115"/>
  <c r="I49" i="115"/>
  <c r="H49" i="115"/>
  <c r="G49" i="115"/>
  <c r="F49" i="115"/>
  <c r="E49" i="115"/>
  <c r="D49" i="115"/>
  <c r="C49" i="115"/>
  <c r="N49" i="115" s="1"/>
  <c r="N48" i="115"/>
  <c r="N47" i="115"/>
  <c r="N46" i="115"/>
  <c r="N45" i="115"/>
  <c r="N44" i="115"/>
  <c r="N43" i="115"/>
  <c r="N42" i="115"/>
  <c r="N41" i="115"/>
  <c r="N40" i="115"/>
  <c r="N35" i="115"/>
  <c r="N34" i="115"/>
  <c r="N33" i="115"/>
  <c r="N32" i="115"/>
  <c r="N31" i="115"/>
  <c r="N30" i="115"/>
  <c r="N29" i="115"/>
  <c r="N28" i="115"/>
  <c r="N27" i="115"/>
  <c r="N26" i="115"/>
  <c r="N25" i="115"/>
  <c r="N24" i="115"/>
  <c r="N23" i="115"/>
  <c r="N22" i="115"/>
  <c r="N21" i="115"/>
  <c r="N20" i="115"/>
  <c r="N19" i="115"/>
  <c r="N18" i="115"/>
  <c r="N17" i="115"/>
  <c r="N16" i="115"/>
  <c r="N15" i="115"/>
  <c r="N14" i="115"/>
  <c r="N13" i="115"/>
  <c r="N12" i="115"/>
  <c r="N11" i="115"/>
  <c r="N10" i="115"/>
  <c r="N9" i="115"/>
  <c r="N8" i="115"/>
  <c r="N7" i="115"/>
  <c r="N6" i="115"/>
  <c r="N5" i="115"/>
  <c r="I14" i="114"/>
  <c r="F14" i="114"/>
  <c r="J14" i="114" s="1"/>
  <c r="I13" i="114"/>
  <c r="J13" i="114" s="1"/>
  <c r="F13" i="114"/>
  <c r="I12" i="114"/>
  <c r="F12" i="114"/>
  <c r="J12" i="114" s="1"/>
  <c r="I11" i="114"/>
  <c r="J11" i="114" s="1"/>
  <c r="F11" i="114"/>
  <c r="I10" i="114"/>
  <c r="F10" i="114"/>
  <c r="J10" i="114" s="1"/>
  <c r="I9" i="114"/>
  <c r="J9" i="114" s="1"/>
  <c r="F9" i="114"/>
  <c r="I8" i="114"/>
  <c r="F8" i="114"/>
  <c r="J8" i="114" s="1"/>
  <c r="I7" i="114"/>
  <c r="J7" i="114" s="1"/>
  <c r="J15" i="114" s="1"/>
  <c r="F7" i="114"/>
  <c r="M48" i="113"/>
  <c r="L48" i="113"/>
  <c r="K48" i="113"/>
  <c r="J48" i="113"/>
  <c r="I48" i="113"/>
  <c r="H48" i="113"/>
  <c r="G48" i="113"/>
  <c r="F48" i="113"/>
  <c r="E48" i="113"/>
  <c r="D48" i="113"/>
  <c r="N47" i="113"/>
  <c r="N46" i="113"/>
  <c r="N45" i="113"/>
  <c r="N44" i="113"/>
  <c r="N43" i="113"/>
  <c r="N42" i="113"/>
  <c r="N41" i="113"/>
  <c r="N40" i="113"/>
  <c r="N39" i="113"/>
  <c r="N38" i="113"/>
  <c r="N37" i="113"/>
  <c r="N36" i="113"/>
  <c r="N35" i="113"/>
  <c r="N34" i="113"/>
  <c r="N33" i="113"/>
  <c r="N32" i="113"/>
  <c r="N31" i="113"/>
  <c r="N30" i="113"/>
  <c r="N29" i="113"/>
  <c r="N28" i="113"/>
  <c r="N27" i="113"/>
  <c r="N22" i="113"/>
  <c r="N21" i="113"/>
  <c r="N20" i="113"/>
  <c r="N19" i="113"/>
  <c r="N18" i="113"/>
  <c r="N17" i="113"/>
  <c r="N16" i="113"/>
  <c r="N15" i="113"/>
  <c r="N14" i="113"/>
  <c r="N13" i="113"/>
  <c r="N12" i="113"/>
  <c r="N11" i="113"/>
  <c r="N10" i="113"/>
  <c r="N9" i="113"/>
  <c r="N8" i="113"/>
  <c r="N7" i="113"/>
  <c r="N6" i="113"/>
  <c r="N5" i="113"/>
  <c r="N48" i="113" s="1"/>
  <c r="S47" i="112"/>
  <c r="R47" i="112"/>
  <c r="Q47" i="112"/>
  <c r="P47" i="112"/>
  <c r="O47" i="112"/>
  <c r="N47" i="112"/>
  <c r="M47" i="112"/>
  <c r="L47" i="112"/>
  <c r="K47" i="112"/>
  <c r="J47" i="112"/>
  <c r="I47" i="112"/>
  <c r="H47" i="112"/>
  <c r="G47" i="112"/>
  <c r="F47" i="112"/>
  <c r="E47" i="112"/>
  <c r="D47" i="112"/>
  <c r="T47" i="112" s="1"/>
  <c r="T46" i="112"/>
  <c r="T45" i="112"/>
  <c r="T44" i="112"/>
  <c r="T43" i="112"/>
  <c r="T42" i="112"/>
  <c r="T41" i="112"/>
  <c r="T40" i="112"/>
  <c r="T39" i="112"/>
  <c r="T38" i="112"/>
  <c r="T34" i="112"/>
  <c r="T33" i="112"/>
  <c r="T32" i="112"/>
  <c r="T31" i="112"/>
  <c r="T30" i="112"/>
  <c r="T29" i="112"/>
  <c r="T28" i="112"/>
  <c r="T27" i="112"/>
  <c r="T26" i="112"/>
  <c r="T25" i="112"/>
  <c r="T24" i="112"/>
  <c r="T23" i="112"/>
  <c r="T22" i="112"/>
  <c r="T21" i="112"/>
  <c r="T20" i="112"/>
  <c r="T19" i="112"/>
  <c r="T18" i="112"/>
  <c r="T17" i="112"/>
  <c r="T16" i="112"/>
  <c r="T15" i="112"/>
  <c r="T14" i="112"/>
  <c r="T13" i="112"/>
  <c r="T12" i="112"/>
  <c r="T11" i="112"/>
  <c r="T10" i="112"/>
  <c r="T9" i="112"/>
  <c r="T8" i="112"/>
  <c r="T7" i="112"/>
  <c r="T6" i="112"/>
  <c r="T5" i="112"/>
  <c r="T4" i="112"/>
  <c r="L51" i="111"/>
  <c r="K51" i="111"/>
  <c r="J51" i="111"/>
  <c r="I51" i="111"/>
  <c r="H51" i="111"/>
  <c r="G51" i="111"/>
  <c r="F51" i="111"/>
  <c r="E51" i="111"/>
  <c r="M50" i="111"/>
  <c r="M49" i="111"/>
  <c r="M48" i="111"/>
  <c r="M47" i="111"/>
  <c r="M46" i="111"/>
  <c r="M45" i="111"/>
  <c r="M44" i="111"/>
  <c r="M43" i="111"/>
  <c r="M42" i="111"/>
  <c r="M41" i="111"/>
  <c r="M40" i="111"/>
  <c r="M39" i="111"/>
  <c r="M38" i="111"/>
  <c r="M37" i="111"/>
  <c r="M36" i="111"/>
  <c r="M35" i="111"/>
  <c r="M34" i="111"/>
  <c r="M33" i="111"/>
  <c r="M32" i="111"/>
  <c r="M31" i="111"/>
  <c r="M30" i="111"/>
  <c r="M29" i="111"/>
  <c r="M22" i="111"/>
  <c r="M21" i="111"/>
  <c r="M20" i="111"/>
  <c r="M19" i="111"/>
  <c r="M18" i="111"/>
  <c r="M17" i="111"/>
  <c r="M16" i="111"/>
  <c r="M15" i="111"/>
  <c r="M14" i="111"/>
  <c r="M13" i="111"/>
  <c r="M12" i="111"/>
  <c r="M11" i="111"/>
  <c r="M10" i="111"/>
  <c r="M9" i="111"/>
  <c r="M8" i="111"/>
  <c r="M7" i="111"/>
  <c r="M6" i="111"/>
  <c r="M5" i="111"/>
  <c r="M51" i="111" s="1"/>
  <c r="L53" i="110"/>
  <c r="K53" i="110"/>
  <c r="J53" i="110"/>
  <c r="I53" i="110"/>
  <c r="H53" i="110"/>
  <c r="G53" i="110"/>
  <c r="F53" i="110"/>
  <c r="E53" i="110"/>
  <c r="D53" i="110"/>
  <c r="M53" i="110" s="1"/>
  <c r="M52" i="110"/>
  <c r="M51" i="110"/>
  <c r="M50" i="110"/>
  <c r="M49" i="110"/>
  <c r="M48" i="110"/>
  <c r="M47" i="110"/>
  <c r="M46" i="110"/>
  <c r="M45" i="110"/>
  <c r="M44" i="110"/>
  <c r="M43" i="110"/>
  <c r="M42" i="110"/>
  <c r="M41" i="110"/>
  <c r="M40" i="110"/>
  <c r="M39" i="110"/>
  <c r="M38" i="110"/>
  <c r="M37" i="110"/>
  <c r="M36" i="110"/>
  <c r="M35" i="110"/>
  <c r="M34" i="110"/>
  <c r="M33" i="110"/>
  <c r="M32" i="110"/>
  <c r="M24" i="110"/>
  <c r="M23" i="110"/>
  <c r="M22" i="110"/>
  <c r="M21" i="110"/>
  <c r="M20" i="110"/>
  <c r="M19" i="110"/>
  <c r="M18" i="110"/>
  <c r="M17" i="110"/>
  <c r="M16" i="110"/>
  <c r="M15" i="110"/>
  <c r="M14" i="110"/>
  <c r="M13" i="110"/>
  <c r="M12" i="110"/>
  <c r="M11" i="110"/>
  <c r="M10" i="110"/>
  <c r="M9" i="110"/>
  <c r="M8" i="110"/>
  <c r="M7" i="110"/>
  <c r="M6" i="110"/>
  <c r="J49" i="109"/>
  <c r="I49" i="109"/>
  <c r="H49" i="109"/>
  <c r="G49" i="109"/>
  <c r="F49" i="109"/>
  <c r="E49" i="109"/>
  <c r="D49" i="109"/>
  <c r="C49" i="109"/>
  <c r="K49" i="109" s="1"/>
  <c r="K48" i="109"/>
  <c r="K47" i="109"/>
  <c r="K46" i="109"/>
  <c r="K45" i="109"/>
  <c r="K44" i="109"/>
  <c r="K43" i="109"/>
  <c r="K42" i="109"/>
  <c r="K41" i="109"/>
  <c r="K40" i="109"/>
  <c r="K39" i="109"/>
  <c r="K38" i="109"/>
  <c r="K37" i="109"/>
  <c r="K36" i="109"/>
  <c r="K35" i="109"/>
  <c r="K34" i="109"/>
  <c r="K33" i="109"/>
  <c r="K32" i="109"/>
  <c r="K31" i="109"/>
  <c r="K30" i="109"/>
  <c r="K25" i="109"/>
  <c r="K24" i="109"/>
  <c r="K23" i="109"/>
  <c r="K22" i="109"/>
  <c r="K21" i="109"/>
  <c r="K20" i="109"/>
  <c r="K19" i="109"/>
  <c r="K18" i="109"/>
  <c r="K17" i="109"/>
  <c r="K16" i="109"/>
  <c r="K15" i="109"/>
  <c r="K14" i="109"/>
  <c r="K13" i="109"/>
  <c r="K12" i="109"/>
  <c r="K11" i="109"/>
  <c r="K10" i="109"/>
  <c r="K9" i="109"/>
  <c r="K8" i="109"/>
  <c r="K7" i="109"/>
  <c r="K6" i="109"/>
  <c r="K5" i="109"/>
  <c r="D79" i="108"/>
  <c r="D80" i="108" s="1"/>
  <c r="D75" i="108"/>
  <c r="D62" i="108"/>
  <c r="D58" i="108"/>
  <c r="D54" i="108"/>
  <c r="D50" i="108"/>
  <c r="D46" i="108"/>
  <c r="D42" i="108"/>
  <c r="D38" i="108"/>
  <c r="D34" i="108"/>
  <c r="D30" i="108"/>
  <c r="D26" i="108"/>
  <c r="D22" i="108"/>
  <c r="D18" i="108"/>
  <c r="D14" i="108"/>
  <c r="D10" i="108"/>
  <c r="E25" i="107"/>
  <c r="F17" i="123" l="1"/>
  <c r="N50" i="117"/>
  <c r="N51" i="117" s="1"/>
  <c r="Q51" i="116"/>
  <c r="Q52" i="116" s="1"/>
  <c r="Q50" i="116"/>
  <c r="N50" i="115"/>
  <c r="N51" i="115" s="1"/>
  <c r="J17" i="114"/>
  <c r="J16" i="114"/>
  <c r="N50" i="113"/>
  <c r="N49" i="113"/>
  <c r="T48" i="112"/>
  <c r="T49" i="112" s="1"/>
  <c r="M52" i="111"/>
  <c r="M53" i="111"/>
  <c r="M54" i="110"/>
  <c r="M55" i="110" s="1"/>
  <c r="M56" i="110" s="1"/>
  <c r="K50" i="109"/>
  <c r="K51" i="109" s="1"/>
  <c r="E25" i="83"/>
  <c r="Q53" i="43"/>
  <c r="Q52" i="43"/>
  <c r="J18" i="100"/>
  <c r="D53" i="38" l="1"/>
  <c r="I9" i="52"/>
  <c r="G16" i="51"/>
  <c r="C16" i="50"/>
  <c r="D80" i="36"/>
  <c r="V42" i="26" l="1"/>
  <c r="V44" i="26" s="1"/>
  <c r="X7" i="26"/>
  <c r="W42" i="26" s="1"/>
  <c r="W43" i="26" s="1"/>
  <c r="W44" i="26" s="1"/>
  <c r="X8" i="26"/>
  <c r="X9" i="26"/>
  <c r="X10" i="26"/>
  <c r="X11" i="26"/>
  <c r="X12" i="26"/>
  <c r="X13" i="26"/>
  <c r="X14" i="26"/>
  <c r="X15" i="26"/>
  <c r="X16" i="26"/>
  <c r="X17" i="26"/>
  <c r="X18" i="26"/>
  <c r="X19" i="26"/>
  <c r="X20" i="26"/>
  <c r="X21" i="26"/>
  <c r="X22" i="26"/>
  <c r="X23" i="26"/>
  <c r="X24" i="26"/>
  <c r="X25" i="26"/>
  <c r="X26" i="26"/>
  <c r="X27" i="26"/>
  <c r="X28" i="26"/>
  <c r="X29" i="26"/>
  <c r="X30" i="26"/>
  <c r="X31" i="26"/>
  <c r="X32" i="26"/>
  <c r="X33" i="26"/>
  <c r="X34" i="26"/>
  <c r="X35" i="26"/>
  <c r="X36" i="26"/>
  <c r="X37" i="26"/>
  <c r="X38" i="26"/>
  <c r="X39" i="26"/>
  <c r="X40" i="26"/>
  <c r="X41" i="26"/>
  <c r="X6" i="26"/>
  <c r="G43" i="47" l="1"/>
  <c r="V42" i="47"/>
  <c r="D79" i="36"/>
  <c r="D75" i="36"/>
  <c r="D38" i="36"/>
  <c r="J7" i="97"/>
  <c r="J8" i="97"/>
  <c r="J9" i="97"/>
  <c r="J10" i="97"/>
  <c r="J11" i="97"/>
  <c r="J12" i="97"/>
  <c r="J13" i="97"/>
  <c r="J14" i="97"/>
  <c r="J15" i="97"/>
  <c r="J16" i="97"/>
  <c r="J17" i="97"/>
  <c r="J18" i="97"/>
  <c r="J19" i="97"/>
  <c r="J20" i="97"/>
  <c r="J21" i="97"/>
  <c r="J22" i="97"/>
  <c r="J23" i="97"/>
  <c r="J24" i="97"/>
  <c r="J25" i="97"/>
  <c r="J26" i="97"/>
  <c r="J27" i="97"/>
  <c r="J28" i="97"/>
  <c r="J29" i="97"/>
  <c r="J30" i="97"/>
  <c r="J31" i="97"/>
  <c r="J32" i="97"/>
  <c r="J33" i="97"/>
  <c r="J34" i="97"/>
  <c r="J35" i="97"/>
  <c r="J36" i="97"/>
  <c r="J37" i="97"/>
  <c r="J38" i="97"/>
  <c r="J39" i="97"/>
  <c r="J40" i="97"/>
  <c r="J41" i="97"/>
  <c r="J42" i="97"/>
  <c r="J6" i="97"/>
  <c r="I8" i="100"/>
  <c r="I9" i="100"/>
  <c r="I10" i="100"/>
  <c r="I11" i="100"/>
  <c r="I12" i="100"/>
  <c r="I13" i="100"/>
  <c r="I14" i="100"/>
  <c r="J14" i="100" s="1"/>
  <c r="I7" i="100"/>
  <c r="F14" i="100"/>
  <c r="T5" i="106"/>
  <c r="T6" i="106"/>
  <c r="T7" i="106"/>
  <c r="T8" i="106"/>
  <c r="T9" i="106"/>
  <c r="T10" i="106"/>
  <c r="T11" i="106"/>
  <c r="T12" i="106"/>
  <c r="T13" i="106"/>
  <c r="T14" i="106"/>
  <c r="T15" i="106"/>
  <c r="T16" i="106"/>
  <c r="T17" i="106"/>
  <c r="T18" i="106"/>
  <c r="T19" i="106"/>
  <c r="T20" i="106"/>
  <c r="T21" i="106"/>
  <c r="T22" i="106"/>
  <c r="T23" i="106"/>
  <c r="T24" i="106"/>
  <c r="T25" i="106"/>
  <c r="T26" i="106"/>
  <c r="T27" i="106"/>
  <c r="T28" i="106"/>
  <c r="T29" i="106"/>
  <c r="T30" i="106"/>
  <c r="T31" i="106"/>
  <c r="T32" i="106"/>
  <c r="T33" i="106"/>
  <c r="T34" i="106"/>
  <c r="T38" i="106"/>
  <c r="T39" i="106"/>
  <c r="T40" i="106"/>
  <c r="T41" i="106"/>
  <c r="T42" i="106"/>
  <c r="T43" i="106"/>
  <c r="T44" i="106"/>
  <c r="T45" i="106"/>
  <c r="T46" i="106"/>
  <c r="T4" i="106"/>
  <c r="S47" i="106"/>
  <c r="R47" i="106"/>
  <c r="Q47" i="106"/>
  <c r="P47" i="106"/>
  <c r="O47" i="106"/>
  <c r="N47" i="106"/>
  <c r="M47" i="106"/>
  <c r="L47" i="106"/>
  <c r="K47" i="106"/>
  <c r="J47" i="106"/>
  <c r="I47" i="106"/>
  <c r="H47" i="106"/>
  <c r="G47" i="106"/>
  <c r="F47" i="106"/>
  <c r="E47" i="106"/>
  <c r="D47" i="106"/>
  <c r="C13" i="35"/>
  <c r="T47" i="106" l="1"/>
  <c r="T48" i="106" s="1"/>
  <c r="T49" i="106" s="1"/>
  <c r="T50" i="106" s="1"/>
  <c r="C47" i="29"/>
  <c r="D47" i="29"/>
  <c r="E47" i="29"/>
  <c r="L34" i="25"/>
  <c r="I34" i="25"/>
  <c r="F34" i="25"/>
  <c r="U7" i="23"/>
  <c r="U8" i="23"/>
  <c r="U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U40" i="23"/>
  <c r="U41" i="23"/>
  <c r="U42" i="23"/>
  <c r="U43" i="23"/>
  <c r="U44" i="23"/>
  <c r="U45" i="23"/>
  <c r="U6" i="23"/>
  <c r="P45" i="92"/>
  <c r="P46" i="92" s="1"/>
  <c r="P47" i="92" s="1"/>
  <c r="Q45" i="92"/>
  <c r="Q46" i="92" s="1"/>
  <c r="Q47" i="92" s="1"/>
  <c r="R45" i="92"/>
  <c r="R46" i="92" s="1"/>
  <c r="R47" i="92" s="1"/>
  <c r="G8" i="21"/>
  <c r="G9" i="21"/>
  <c r="G10" i="21"/>
  <c r="G11" i="21"/>
  <c r="G12" i="21"/>
  <c r="G13" i="21"/>
  <c r="G14" i="21"/>
  <c r="G15" i="21"/>
  <c r="G16" i="21"/>
  <c r="G17" i="21"/>
  <c r="G18" i="21"/>
  <c r="G19" i="21"/>
  <c r="G20" i="21"/>
  <c r="G21" i="21"/>
  <c r="G22" i="21"/>
  <c r="G23" i="21"/>
  <c r="G24" i="21"/>
  <c r="G25" i="21"/>
  <c r="G26" i="21"/>
  <c r="G27" i="21"/>
  <c r="G28" i="21"/>
  <c r="G7" i="21"/>
  <c r="E48" i="29" l="1"/>
  <c r="G34" i="25"/>
  <c r="G35" i="25" s="1"/>
  <c r="G36" i="25" s="1"/>
  <c r="M34" i="25"/>
  <c r="J34" i="25"/>
  <c r="J35" i="25" s="1"/>
  <c r="J36" i="25" s="1"/>
  <c r="M35" i="25"/>
  <c r="M36" i="25" s="1"/>
  <c r="G29" i="21"/>
  <c r="V20" i="18"/>
  <c r="N47" i="105"/>
  <c r="O47" i="105" s="1"/>
  <c r="M47" i="105"/>
  <c r="K47" i="105"/>
  <c r="J47" i="105"/>
  <c r="H47" i="105"/>
  <c r="G47" i="105"/>
  <c r="E47" i="105"/>
  <c r="P50" i="90"/>
  <c r="P49" i="90"/>
  <c r="P47" i="90"/>
  <c r="O47" i="90"/>
  <c r="L47" i="90"/>
  <c r="I47" i="90"/>
  <c r="F47" i="90"/>
  <c r="D47" i="90"/>
  <c r="P8" i="90"/>
  <c r="P9" i="90"/>
  <c r="P10" i="90"/>
  <c r="P11" i="90"/>
  <c r="P12" i="90"/>
  <c r="P13" i="90"/>
  <c r="P14" i="90"/>
  <c r="P15" i="90"/>
  <c r="P16" i="90"/>
  <c r="P17" i="90"/>
  <c r="P18" i="90"/>
  <c r="P19" i="90"/>
  <c r="P20" i="90"/>
  <c r="P21" i="90"/>
  <c r="P22" i="90"/>
  <c r="P23" i="90"/>
  <c r="P24" i="90"/>
  <c r="P25" i="90"/>
  <c r="P26" i="90"/>
  <c r="P27" i="90"/>
  <c r="P28" i="90"/>
  <c r="P29" i="90"/>
  <c r="P30" i="90"/>
  <c r="P31" i="90"/>
  <c r="P32" i="90"/>
  <c r="P33" i="90"/>
  <c r="P34" i="90"/>
  <c r="P35" i="90"/>
  <c r="P36" i="90"/>
  <c r="P37" i="90"/>
  <c r="P38" i="90"/>
  <c r="P39" i="90"/>
  <c r="P40" i="90"/>
  <c r="P41" i="90"/>
  <c r="P42" i="90"/>
  <c r="P43" i="90"/>
  <c r="P44" i="90"/>
  <c r="P45" i="90"/>
  <c r="P46" i="90"/>
  <c r="P7" i="90"/>
  <c r="O8" i="105"/>
  <c r="O9" i="105"/>
  <c r="O10" i="105"/>
  <c r="O11" i="105"/>
  <c r="O12" i="105"/>
  <c r="O13" i="105"/>
  <c r="O14" i="105"/>
  <c r="O15" i="105"/>
  <c r="O16" i="105"/>
  <c r="O17" i="105"/>
  <c r="O18" i="105"/>
  <c r="O19" i="105"/>
  <c r="O20" i="105"/>
  <c r="O21" i="105"/>
  <c r="O22" i="105"/>
  <c r="O23" i="105"/>
  <c r="O24" i="105"/>
  <c r="O25" i="105"/>
  <c r="O26" i="105"/>
  <c r="O27" i="105"/>
  <c r="O28" i="105"/>
  <c r="O29" i="105"/>
  <c r="O30" i="105"/>
  <c r="O31" i="105"/>
  <c r="O32" i="105"/>
  <c r="O33" i="105"/>
  <c r="O34" i="105"/>
  <c r="O35" i="105"/>
  <c r="O36" i="105"/>
  <c r="O37" i="105"/>
  <c r="O38" i="105"/>
  <c r="O39" i="105"/>
  <c r="O40" i="105"/>
  <c r="O41" i="105"/>
  <c r="O42" i="105"/>
  <c r="O43" i="105"/>
  <c r="O44" i="105"/>
  <c r="O45" i="105"/>
  <c r="O46" i="105"/>
  <c r="O7" i="105"/>
  <c r="G45" i="105"/>
  <c r="M44" i="105"/>
  <c r="J44" i="105"/>
  <c r="G44" i="105"/>
  <c r="M43" i="105"/>
  <c r="J43" i="105"/>
  <c r="G43" i="105"/>
  <c r="M42" i="105"/>
  <c r="J42" i="105"/>
  <c r="G42" i="105"/>
  <c r="G41" i="105"/>
  <c r="G40" i="105"/>
  <c r="G39" i="105"/>
  <c r="G38" i="105"/>
  <c r="G37" i="105"/>
  <c r="G36" i="105"/>
  <c r="G35" i="105"/>
  <c r="G34" i="105"/>
  <c r="G33" i="105"/>
  <c r="G32" i="105"/>
  <c r="M31" i="105"/>
  <c r="J31" i="105"/>
  <c r="G31" i="105"/>
  <c r="G30" i="105"/>
  <c r="G29" i="105"/>
  <c r="G28" i="105"/>
  <c r="G27" i="105"/>
  <c r="G26" i="105"/>
  <c r="M25" i="105"/>
  <c r="J25" i="105"/>
  <c r="G25" i="105"/>
  <c r="G24" i="105"/>
  <c r="G23" i="105"/>
  <c r="G22" i="105"/>
  <c r="G21" i="105"/>
  <c r="G20" i="105"/>
  <c r="G19" i="105"/>
  <c r="G18" i="105"/>
  <c r="G17" i="105"/>
  <c r="G16" i="105"/>
  <c r="G15" i="105"/>
  <c r="G14" i="105"/>
  <c r="G13" i="105"/>
  <c r="G12" i="105"/>
  <c r="G11" i="105"/>
  <c r="G10" i="105"/>
  <c r="M8" i="105"/>
  <c r="J8" i="105"/>
  <c r="G8" i="105"/>
  <c r="G7" i="105"/>
  <c r="J15" i="17"/>
  <c r="G9" i="16"/>
  <c r="O50" i="99"/>
  <c r="O48" i="105" l="1"/>
  <c r="F8" i="100"/>
  <c r="J8" i="100" s="1"/>
  <c r="F9" i="100"/>
  <c r="J9" i="100" s="1"/>
  <c r="F10" i="100"/>
  <c r="J10" i="100" s="1"/>
  <c r="F11" i="100"/>
  <c r="J11" i="100" s="1"/>
  <c r="F12" i="100"/>
  <c r="J12" i="100" s="1"/>
  <c r="F13" i="100"/>
  <c r="J13" i="100" s="1"/>
  <c r="F7" i="100"/>
  <c r="J7" i="100" s="1"/>
  <c r="J15" i="100" s="1"/>
  <c r="J17" i="100" l="1"/>
  <c r="J16" i="100"/>
  <c r="O50" i="105"/>
  <c r="O49" i="105"/>
  <c r="M51" i="102"/>
  <c r="L48" i="104" l="1"/>
  <c r="K48" i="104"/>
  <c r="J48" i="104"/>
  <c r="I48" i="104"/>
  <c r="H48" i="104"/>
  <c r="G48" i="104"/>
  <c r="F48" i="104"/>
  <c r="E48" i="104"/>
  <c r="D48" i="104"/>
  <c r="M47" i="104"/>
  <c r="M46" i="104"/>
  <c r="M45" i="104"/>
  <c r="M44" i="104"/>
  <c r="M43" i="104"/>
  <c r="M42" i="104"/>
  <c r="M41" i="104"/>
  <c r="M40" i="104"/>
  <c r="M39" i="104"/>
  <c r="M38" i="104"/>
  <c r="M37" i="104"/>
  <c r="M36" i="104"/>
  <c r="M35" i="104"/>
  <c r="M34" i="104"/>
  <c r="M33" i="104"/>
  <c r="M32" i="104"/>
  <c r="M31" i="104"/>
  <c r="M30" i="104"/>
  <c r="M27" i="104"/>
  <c r="M26" i="104"/>
  <c r="M25" i="104"/>
  <c r="M24" i="104"/>
  <c r="M23" i="104"/>
  <c r="M22" i="104"/>
  <c r="M21" i="104"/>
  <c r="M20" i="104"/>
  <c r="M19" i="104"/>
  <c r="M18" i="104"/>
  <c r="M17" i="104"/>
  <c r="M16" i="104"/>
  <c r="M15" i="104"/>
  <c r="M14" i="104"/>
  <c r="M13" i="104"/>
  <c r="M12" i="104"/>
  <c r="M11" i="104"/>
  <c r="M10" i="104"/>
  <c r="M9" i="104"/>
  <c r="M8" i="104"/>
  <c r="M7" i="104"/>
  <c r="M6" i="104"/>
  <c r="F46" i="103"/>
  <c r="E46" i="103"/>
  <c r="D46" i="103"/>
  <c r="G45" i="103"/>
  <c r="G44" i="103"/>
  <c r="G43" i="103"/>
  <c r="G42" i="103"/>
  <c r="G41" i="103"/>
  <c r="G40" i="103"/>
  <c r="G39" i="103"/>
  <c r="G38" i="103"/>
  <c r="G37" i="103"/>
  <c r="G36" i="103"/>
  <c r="G35" i="103"/>
  <c r="G34" i="103"/>
  <c r="G33" i="103"/>
  <c r="G32" i="103"/>
  <c r="G31" i="103"/>
  <c r="G30" i="103"/>
  <c r="G29" i="103"/>
  <c r="G28" i="103"/>
  <c r="G27" i="103"/>
  <c r="G26" i="103"/>
  <c r="G25" i="103"/>
  <c r="G24" i="103"/>
  <c r="G23" i="103"/>
  <c r="G22" i="103"/>
  <c r="G21" i="103"/>
  <c r="G20" i="103"/>
  <c r="G19" i="103"/>
  <c r="G18" i="103"/>
  <c r="G17" i="103"/>
  <c r="G16" i="103"/>
  <c r="G15" i="103"/>
  <c r="G14" i="103"/>
  <c r="G13" i="103"/>
  <c r="G12" i="103"/>
  <c r="G11" i="103"/>
  <c r="G10" i="103"/>
  <c r="G9" i="103"/>
  <c r="G8" i="103"/>
  <c r="G7" i="103"/>
  <c r="G6" i="103"/>
  <c r="L49" i="102"/>
  <c r="K49" i="102"/>
  <c r="J49" i="102"/>
  <c r="I49" i="102"/>
  <c r="H49" i="102"/>
  <c r="G49" i="102"/>
  <c r="F49" i="102"/>
  <c r="E49" i="102"/>
  <c r="D49" i="102"/>
  <c r="M48" i="102"/>
  <c r="M47" i="102"/>
  <c r="M46" i="102"/>
  <c r="M45" i="102"/>
  <c r="M44" i="102"/>
  <c r="M43" i="102"/>
  <c r="M42" i="102"/>
  <c r="M41" i="102"/>
  <c r="M40" i="102"/>
  <c r="M39" i="102"/>
  <c r="M38" i="102"/>
  <c r="M37" i="102"/>
  <c r="M36" i="102"/>
  <c r="M35" i="102"/>
  <c r="M34" i="102"/>
  <c r="M33" i="102"/>
  <c r="M32" i="102"/>
  <c r="M31" i="102"/>
  <c r="M30" i="102"/>
  <c r="M29" i="102"/>
  <c r="M28" i="102"/>
  <c r="M27" i="102"/>
  <c r="M23" i="102"/>
  <c r="M22" i="102"/>
  <c r="M21" i="102"/>
  <c r="M20" i="102"/>
  <c r="M19" i="102"/>
  <c r="M18" i="102"/>
  <c r="M17" i="102"/>
  <c r="M16" i="102"/>
  <c r="M15" i="102"/>
  <c r="M14" i="102"/>
  <c r="M13" i="102"/>
  <c r="M12" i="102"/>
  <c r="M11" i="102"/>
  <c r="M10" i="102"/>
  <c r="M9" i="102"/>
  <c r="M8" i="102"/>
  <c r="M7" i="102"/>
  <c r="M6" i="102"/>
  <c r="E39" i="14"/>
  <c r="F39" i="14"/>
  <c r="G39" i="14"/>
  <c r="H39" i="14"/>
  <c r="I39" i="14"/>
  <c r="J39" i="14"/>
  <c r="K39" i="14"/>
  <c r="L39" i="14"/>
  <c r="M39" i="14"/>
  <c r="N39" i="14"/>
  <c r="D39" i="14"/>
  <c r="E13" i="14"/>
  <c r="F13" i="14"/>
  <c r="G13" i="14"/>
  <c r="H13" i="14"/>
  <c r="I13" i="14"/>
  <c r="J13" i="14"/>
  <c r="K13" i="14"/>
  <c r="L13" i="14"/>
  <c r="M13" i="14"/>
  <c r="N13" i="14"/>
  <c r="O13" i="14"/>
  <c r="D13" i="14"/>
  <c r="M48" i="104" l="1"/>
  <c r="E49" i="104"/>
  <c r="E50" i="104" s="1"/>
  <c r="G49" i="104"/>
  <c r="G50" i="104" s="1"/>
  <c r="I49" i="104"/>
  <c r="I50" i="104" s="1"/>
  <c r="K49" i="104"/>
  <c r="K50" i="104" s="1"/>
  <c r="D49" i="104"/>
  <c r="F49" i="104"/>
  <c r="F50" i="104" s="1"/>
  <c r="H49" i="104"/>
  <c r="H50" i="104" s="1"/>
  <c r="J49" i="104"/>
  <c r="J50" i="104" s="1"/>
  <c r="L49" i="104"/>
  <c r="L50" i="104" s="1"/>
  <c r="G46" i="103"/>
  <c r="E47" i="103"/>
  <c r="E48" i="103" s="1"/>
  <c r="D47" i="103"/>
  <c r="F47" i="103"/>
  <c r="F48" i="103" s="1"/>
  <c r="M49" i="102"/>
  <c r="E50" i="102"/>
  <c r="E51" i="102" s="1"/>
  <c r="G50" i="102"/>
  <c r="G51" i="102" s="1"/>
  <c r="I50" i="102"/>
  <c r="I51" i="102" s="1"/>
  <c r="K50" i="102"/>
  <c r="K51" i="102" s="1"/>
  <c r="D50" i="102"/>
  <c r="F50" i="102"/>
  <c r="F51" i="102" s="1"/>
  <c r="H50" i="102"/>
  <c r="H51" i="102" s="1"/>
  <c r="J50" i="102"/>
  <c r="J51" i="102" s="1"/>
  <c r="L50" i="102"/>
  <c r="L51" i="102" s="1"/>
  <c r="I48" i="9"/>
  <c r="D49" i="89"/>
  <c r="D50" i="89" s="1"/>
  <c r="E49" i="89"/>
  <c r="E50" i="89" s="1"/>
  <c r="F49" i="89"/>
  <c r="F50" i="89" s="1"/>
  <c r="G49" i="89"/>
  <c r="G50" i="89" s="1"/>
  <c r="H49" i="89"/>
  <c r="H50" i="89" s="1"/>
  <c r="I49" i="89"/>
  <c r="I50" i="89" s="1"/>
  <c r="J49" i="89"/>
  <c r="J50" i="89" s="1"/>
  <c r="K49" i="89"/>
  <c r="K50" i="89" s="1"/>
  <c r="D48" i="89"/>
  <c r="E48" i="89"/>
  <c r="F48" i="89"/>
  <c r="G48" i="89"/>
  <c r="H48" i="89"/>
  <c r="I48" i="89"/>
  <c r="J48" i="89"/>
  <c r="K48" i="89"/>
  <c r="C48" i="89"/>
  <c r="L7" i="89"/>
  <c r="L8" i="89"/>
  <c r="L9" i="89"/>
  <c r="L10" i="89"/>
  <c r="L11" i="89"/>
  <c r="L12" i="89"/>
  <c r="L13" i="89"/>
  <c r="L14" i="89"/>
  <c r="L15" i="89"/>
  <c r="L16" i="89"/>
  <c r="L17" i="89"/>
  <c r="L18" i="89"/>
  <c r="L19" i="89"/>
  <c r="L20" i="89"/>
  <c r="L21" i="89"/>
  <c r="L22" i="89"/>
  <c r="L23" i="89"/>
  <c r="L24" i="89"/>
  <c r="L25" i="89"/>
  <c r="L26" i="89"/>
  <c r="L27" i="89"/>
  <c r="L28" i="89"/>
  <c r="L31" i="89"/>
  <c r="L32" i="89"/>
  <c r="L33" i="89"/>
  <c r="L34" i="89"/>
  <c r="L35" i="89"/>
  <c r="L36" i="89"/>
  <c r="L37" i="89"/>
  <c r="L38" i="89"/>
  <c r="L39" i="89"/>
  <c r="L40" i="89"/>
  <c r="L41" i="89"/>
  <c r="L42" i="89"/>
  <c r="L43" i="89"/>
  <c r="L44" i="89"/>
  <c r="L45" i="89"/>
  <c r="L46" i="89"/>
  <c r="L47" i="89"/>
  <c r="L6" i="89"/>
  <c r="O48" i="101"/>
  <c r="O49" i="101"/>
  <c r="O7" i="101"/>
  <c r="O8" i="101"/>
  <c r="O9" i="101"/>
  <c r="O10" i="101"/>
  <c r="O11" i="101"/>
  <c r="O12" i="101"/>
  <c r="O13" i="101"/>
  <c r="O14" i="101"/>
  <c r="O15" i="101"/>
  <c r="O16" i="101"/>
  <c r="O17" i="101"/>
  <c r="O18" i="101"/>
  <c r="O19" i="101"/>
  <c r="O20" i="101"/>
  <c r="O21" i="101"/>
  <c r="O22" i="101"/>
  <c r="O23" i="101"/>
  <c r="O24" i="101"/>
  <c r="O25" i="101"/>
  <c r="O26" i="101"/>
  <c r="O27" i="101"/>
  <c r="O28" i="101"/>
  <c r="O29" i="101"/>
  <c r="O32" i="101"/>
  <c r="O33" i="101"/>
  <c r="O34" i="101"/>
  <c r="O35" i="101"/>
  <c r="O36" i="101"/>
  <c r="O37" i="101"/>
  <c r="O38" i="101"/>
  <c r="O39" i="101"/>
  <c r="O40" i="101"/>
  <c r="O41" i="101"/>
  <c r="O42" i="101"/>
  <c r="O43" i="101"/>
  <c r="O44" i="101"/>
  <c r="O45" i="101"/>
  <c r="O46" i="101"/>
  <c r="O47" i="101"/>
  <c r="O6" i="101"/>
  <c r="M48" i="101"/>
  <c r="N48" i="101"/>
  <c r="M49" i="101"/>
  <c r="N49" i="101"/>
  <c r="M50" i="101"/>
  <c r="N50" i="101"/>
  <c r="D48" i="101"/>
  <c r="D49" i="101" s="1"/>
  <c r="D50" i="101" s="1"/>
  <c r="E48" i="101"/>
  <c r="F48" i="101"/>
  <c r="F49" i="101" s="1"/>
  <c r="F50" i="101" s="1"/>
  <c r="G48" i="101"/>
  <c r="H48" i="101"/>
  <c r="H49" i="101" s="1"/>
  <c r="H50" i="101" s="1"/>
  <c r="I48" i="101"/>
  <c r="J48" i="101"/>
  <c r="J49" i="101" s="1"/>
  <c r="J50" i="101" s="1"/>
  <c r="K48" i="101"/>
  <c r="L48" i="101"/>
  <c r="L49" i="101" s="1"/>
  <c r="L50" i="101" s="1"/>
  <c r="E49" i="101"/>
  <c r="E50" i="101" s="1"/>
  <c r="G49" i="101"/>
  <c r="G50" i="101" s="1"/>
  <c r="I49" i="101"/>
  <c r="I50" i="101" s="1"/>
  <c r="K49" i="101"/>
  <c r="K50" i="101" s="1"/>
  <c r="C50" i="101"/>
  <c r="C49" i="101"/>
  <c r="C48" i="101"/>
  <c r="N7" i="9"/>
  <c r="N8" i="9"/>
  <c r="N9" i="9"/>
  <c r="N10" i="9"/>
  <c r="N11" i="9"/>
  <c r="N12" i="9"/>
  <c r="N13" i="9"/>
  <c r="N14" i="9"/>
  <c r="N15" i="9"/>
  <c r="N16" i="9"/>
  <c r="N17" i="9"/>
  <c r="N18" i="9"/>
  <c r="N19" i="9"/>
  <c r="N20" i="9"/>
  <c r="N21" i="9"/>
  <c r="N22" i="9"/>
  <c r="N23" i="9"/>
  <c r="N24" i="9"/>
  <c r="N25" i="9"/>
  <c r="N26" i="9"/>
  <c r="N27" i="9"/>
  <c r="N30" i="9"/>
  <c r="N31" i="9"/>
  <c r="N32" i="9"/>
  <c r="N33" i="9"/>
  <c r="N34" i="9"/>
  <c r="N35" i="9"/>
  <c r="N36" i="9"/>
  <c r="N37" i="9"/>
  <c r="N38" i="9"/>
  <c r="N39" i="9"/>
  <c r="N40" i="9"/>
  <c r="N41" i="9"/>
  <c r="N42" i="9"/>
  <c r="N43" i="9"/>
  <c r="N44" i="9"/>
  <c r="N45" i="9"/>
  <c r="N46" i="9"/>
  <c r="N47" i="9"/>
  <c r="N6" i="9"/>
  <c r="G10" i="10"/>
  <c r="G9" i="10"/>
  <c r="G8" i="10"/>
  <c r="G7" i="10"/>
  <c r="G6" i="10"/>
  <c r="D18" i="86"/>
  <c r="E195" i="1"/>
  <c r="G11" i="10" l="1"/>
  <c r="G12" i="10" s="1"/>
  <c r="M49" i="104"/>
  <c r="D50" i="104"/>
  <c r="M50" i="104" s="1"/>
  <c r="G47" i="103"/>
  <c r="D48" i="103"/>
  <c r="G48" i="103" s="1"/>
  <c r="G49" i="103" s="1"/>
  <c r="M50" i="102"/>
  <c r="D51" i="102"/>
  <c r="N48" i="9"/>
  <c r="N49" i="9" s="1"/>
  <c r="O50" i="101"/>
  <c r="D22" i="36"/>
  <c r="Q7" i="25"/>
  <c r="Q8" i="25"/>
  <c r="Q9" i="25"/>
  <c r="Q10" i="25"/>
  <c r="Q11" i="25"/>
  <c r="Q12" i="25"/>
  <c r="Q13" i="25"/>
  <c r="Q14" i="25"/>
  <c r="Q15" i="25"/>
  <c r="Q6" i="25"/>
  <c r="N15" i="25"/>
  <c r="N14" i="25"/>
  <c r="N13" i="25"/>
  <c r="N12" i="25"/>
  <c r="N11" i="25"/>
  <c r="N10" i="25"/>
  <c r="N9" i="25"/>
  <c r="N8" i="25"/>
  <c r="N7" i="25"/>
  <c r="N6" i="25"/>
  <c r="K15" i="25"/>
  <c r="K14" i="25"/>
  <c r="K13" i="25"/>
  <c r="K12" i="25"/>
  <c r="K11" i="25"/>
  <c r="K10" i="25"/>
  <c r="K9" i="25"/>
  <c r="K8" i="25"/>
  <c r="K7" i="25"/>
  <c r="K6" i="25"/>
  <c r="H7" i="25"/>
  <c r="H8" i="25"/>
  <c r="H9" i="25"/>
  <c r="H10" i="25"/>
  <c r="H11" i="25"/>
  <c r="H12" i="25"/>
  <c r="H13" i="25"/>
  <c r="H14" i="25"/>
  <c r="H15" i="25"/>
  <c r="H6" i="25"/>
  <c r="O16" i="25"/>
  <c r="L16" i="25"/>
  <c r="I16" i="25"/>
  <c r="F16" i="25"/>
  <c r="O45" i="92"/>
  <c r="G16" i="25" l="1"/>
  <c r="G17" i="25" s="1"/>
  <c r="J16" i="25"/>
  <c r="J17" i="25" s="1"/>
  <c r="J18" i="25" s="1"/>
  <c r="M16" i="25"/>
  <c r="M17" i="25" s="1"/>
  <c r="O46" i="92"/>
  <c r="O47" i="92" s="1"/>
  <c r="G13" i="10"/>
  <c r="P16" i="25"/>
  <c r="P17" i="25" s="1"/>
  <c r="P18" i="25"/>
  <c r="M18" i="25"/>
  <c r="G18" i="25"/>
  <c r="E79" i="1"/>
  <c r="E75" i="1"/>
  <c r="E44" i="1"/>
  <c r="E34" i="1"/>
  <c r="E42" i="1"/>
  <c r="E41" i="1"/>
  <c r="G11" i="16"/>
  <c r="G10" i="16"/>
  <c r="G8" i="16"/>
  <c r="G7" i="16"/>
  <c r="G6" i="16"/>
  <c r="G12" i="16" s="1"/>
  <c r="T53" i="98"/>
  <c r="S53" i="98"/>
  <c r="R53" i="98"/>
  <c r="Q53" i="98"/>
  <c r="P53" i="98"/>
  <c r="O53" i="98"/>
  <c r="N53" i="98"/>
  <c r="M53" i="98"/>
  <c r="L53" i="98"/>
  <c r="K53" i="98"/>
  <c r="J53" i="98"/>
  <c r="I53" i="98"/>
  <c r="H53" i="98"/>
  <c r="G53" i="98"/>
  <c r="F53" i="98"/>
  <c r="E53" i="98"/>
  <c r="D53" i="98"/>
  <c r="Q50" i="99"/>
  <c r="P50" i="99"/>
  <c r="N50" i="99"/>
  <c r="M50" i="99"/>
  <c r="L50" i="99"/>
  <c r="K50" i="99"/>
  <c r="J50" i="99"/>
  <c r="I50" i="99"/>
  <c r="H50" i="99"/>
  <c r="G50" i="99"/>
  <c r="F50" i="99"/>
  <c r="E50" i="99"/>
  <c r="D50" i="99"/>
  <c r="G117" i="15"/>
  <c r="H117" i="15"/>
  <c r="I117" i="15"/>
  <c r="J117" i="15"/>
  <c r="K117" i="15"/>
  <c r="L117" i="15"/>
  <c r="M117" i="15"/>
  <c r="N117" i="15"/>
  <c r="O117" i="15"/>
  <c r="F117" i="15"/>
  <c r="E117" i="15"/>
  <c r="O118" i="15" s="1"/>
  <c r="D117" i="15"/>
  <c r="O53" i="15"/>
  <c r="N53" i="15"/>
  <c r="M53" i="15"/>
  <c r="L53" i="15"/>
  <c r="K53" i="15"/>
  <c r="J53" i="15"/>
  <c r="I53" i="15"/>
  <c r="H53" i="15"/>
  <c r="G53" i="15"/>
  <c r="M37" i="25" l="1"/>
  <c r="T54" i="98"/>
  <c r="Q51" i="99"/>
  <c r="G14" i="16"/>
  <c r="G13" i="16"/>
  <c r="O54" i="15"/>
  <c r="T56" i="98" l="1"/>
  <c r="V43" i="97"/>
  <c r="V45" i="97" s="1"/>
  <c r="X42" i="97"/>
  <c r="X41" i="97"/>
  <c r="X40" i="97"/>
  <c r="X39" i="97"/>
  <c r="X38" i="97"/>
  <c r="X37" i="97"/>
  <c r="X36" i="97"/>
  <c r="X35" i="97"/>
  <c r="X34" i="97"/>
  <c r="X33" i="97"/>
  <c r="X32" i="97"/>
  <c r="X31" i="97"/>
  <c r="X30" i="97"/>
  <c r="X29" i="97"/>
  <c r="X28" i="97"/>
  <c r="X27" i="97"/>
  <c r="X26" i="97"/>
  <c r="X25" i="97"/>
  <c r="X24" i="97"/>
  <c r="X23" i="97"/>
  <c r="X22" i="97"/>
  <c r="X21" i="97"/>
  <c r="X20" i="97"/>
  <c r="X19" i="97"/>
  <c r="X18" i="97"/>
  <c r="X17" i="97"/>
  <c r="X16" i="97"/>
  <c r="X15" i="97"/>
  <c r="X14" i="97"/>
  <c r="X13" i="97"/>
  <c r="X12" i="97"/>
  <c r="X11" i="97"/>
  <c r="X10" i="97"/>
  <c r="X9" i="97"/>
  <c r="X8" i="97"/>
  <c r="X7" i="97"/>
  <c r="X6" i="97"/>
  <c r="W43" i="97" s="1"/>
  <c r="S43" i="97"/>
  <c r="S45" i="97" s="1"/>
  <c r="P43" i="97"/>
  <c r="P45" i="97" s="1"/>
  <c r="M43" i="97"/>
  <c r="J43" i="97"/>
  <c r="J45" i="97" s="1"/>
  <c r="G43" i="97"/>
  <c r="G45" i="97" s="1"/>
  <c r="D43" i="97"/>
  <c r="U42" i="97"/>
  <c r="R42" i="97"/>
  <c r="O42" i="97"/>
  <c r="L42" i="97"/>
  <c r="I42" i="97"/>
  <c r="F42" i="97"/>
  <c r="U41" i="97"/>
  <c r="R41" i="97"/>
  <c r="O41" i="97"/>
  <c r="L41" i="97"/>
  <c r="I41" i="97"/>
  <c r="F41" i="97"/>
  <c r="U40" i="97"/>
  <c r="R40" i="97"/>
  <c r="O40" i="97"/>
  <c r="L40" i="97"/>
  <c r="I40" i="97"/>
  <c r="F40" i="97"/>
  <c r="U39" i="97"/>
  <c r="R39" i="97"/>
  <c r="O39" i="97"/>
  <c r="L39" i="97"/>
  <c r="I39" i="97"/>
  <c r="F39" i="97"/>
  <c r="U38" i="97"/>
  <c r="R38" i="97"/>
  <c r="O38" i="97"/>
  <c r="L38" i="97"/>
  <c r="I38" i="97"/>
  <c r="F38" i="97"/>
  <c r="U37" i="97"/>
  <c r="R37" i="97"/>
  <c r="O37" i="97"/>
  <c r="L37" i="97"/>
  <c r="I37" i="97"/>
  <c r="F37" i="97"/>
  <c r="U36" i="97"/>
  <c r="R36" i="97"/>
  <c r="O36" i="97"/>
  <c r="L36" i="97"/>
  <c r="I36" i="97"/>
  <c r="F36" i="97"/>
  <c r="U35" i="97"/>
  <c r="R35" i="97"/>
  <c r="O35" i="97"/>
  <c r="L35" i="97"/>
  <c r="I35" i="97"/>
  <c r="F35" i="97"/>
  <c r="U34" i="97"/>
  <c r="R34" i="97"/>
  <c r="O34" i="97"/>
  <c r="L34" i="97"/>
  <c r="I34" i="97"/>
  <c r="F34" i="97"/>
  <c r="U33" i="97"/>
  <c r="R33" i="97"/>
  <c r="O33" i="97"/>
  <c r="L33" i="97"/>
  <c r="I33" i="97"/>
  <c r="F33" i="97"/>
  <c r="U32" i="97"/>
  <c r="R32" i="97"/>
  <c r="O32" i="97"/>
  <c r="L32" i="97"/>
  <c r="I32" i="97"/>
  <c r="F32" i="97"/>
  <c r="U31" i="97"/>
  <c r="R31" i="97"/>
  <c r="O31" i="97"/>
  <c r="L31" i="97"/>
  <c r="I31" i="97"/>
  <c r="F31" i="97"/>
  <c r="U30" i="97"/>
  <c r="R30" i="97"/>
  <c r="O30" i="97"/>
  <c r="L30" i="97"/>
  <c r="I30" i="97"/>
  <c r="F30" i="97"/>
  <c r="U29" i="97"/>
  <c r="R29" i="97"/>
  <c r="O29" i="97"/>
  <c r="L29" i="97"/>
  <c r="I29" i="97"/>
  <c r="F29" i="97"/>
  <c r="U28" i="97"/>
  <c r="R28" i="97"/>
  <c r="O28" i="97"/>
  <c r="L28" i="97"/>
  <c r="I28" i="97"/>
  <c r="F28" i="97"/>
  <c r="U27" i="97"/>
  <c r="R27" i="97"/>
  <c r="O27" i="97"/>
  <c r="L27" i="97"/>
  <c r="I27" i="97"/>
  <c r="F27" i="97"/>
  <c r="U26" i="97"/>
  <c r="R26" i="97"/>
  <c r="O26" i="97"/>
  <c r="L26" i="97"/>
  <c r="I26" i="97"/>
  <c r="F26" i="97"/>
  <c r="U25" i="97"/>
  <c r="R25" i="97"/>
  <c r="O25" i="97"/>
  <c r="L25" i="97"/>
  <c r="I25" i="97"/>
  <c r="F25" i="97"/>
  <c r="U24" i="97"/>
  <c r="R24" i="97"/>
  <c r="O24" i="97"/>
  <c r="L24" i="97"/>
  <c r="I24" i="97"/>
  <c r="F24" i="97"/>
  <c r="U23" i="97"/>
  <c r="R23" i="97"/>
  <c r="O23" i="97"/>
  <c r="L23" i="97"/>
  <c r="I23" i="97"/>
  <c r="F23" i="97"/>
  <c r="U22" i="97"/>
  <c r="R22" i="97"/>
  <c r="O22" i="97"/>
  <c r="L22" i="97"/>
  <c r="I22" i="97"/>
  <c r="F22" i="97"/>
  <c r="U21" i="97"/>
  <c r="R21" i="97"/>
  <c r="O21" i="97"/>
  <c r="L21" i="97"/>
  <c r="I21" i="97"/>
  <c r="F21" i="97"/>
  <c r="U20" i="97"/>
  <c r="R20" i="97"/>
  <c r="O20" i="97"/>
  <c r="L20" i="97"/>
  <c r="I20" i="97"/>
  <c r="F20" i="97"/>
  <c r="U19" i="97"/>
  <c r="R19" i="97"/>
  <c r="O19" i="97"/>
  <c r="L19" i="97"/>
  <c r="I19" i="97"/>
  <c r="F19" i="97"/>
  <c r="U18" i="97"/>
  <c r="R18" i="97"/>
  <c r="O18" i="97"/>
  <c r="L18" i="97"/>
  <c r="I18" i="97"/>
  <c r="F18" i="97"/>
  <c r="U17" i="97"/>
  <c r="R17" i="97"/>
  <c r="O17" i="97"/>
  <c r="L17" i="97"/>
  <c r="I17" i="97"/>
  <c r="F17" i="97"/>
  <c r="U16" i="97"/>
  <c r="R16" i="97"/>
  <c r="O16" i="97"/>
  <c r="L16" i="97"/>
  <c r="I16" i="97"/>
  <c r="F16" i="97"/>
  <c r="U15" i="97"/>
  <c r="R15" i="97"/>
  <c r="O15" i="97"/>
  <c r="L15" i="97"/>
  <c r="I15" i="97"/>
  <c r="F15" i="97"/>
  <c r="U14" i="97"/>
  <c r="R14" i="97"/>
  <c r="O14" i="97"/>
  <c r="L14" i="97"/>
  <c r="I14" i="97"/>
  <c r="F14" i="97"/>
  <c r="U13" i="97"/>
  <c r="R13" i="97"/>
  <c r="O13" i="97"/>
  <c r="L13" i="97"/>
  <c r="I13" i="97"/>
  <c r="F13" i="97"/>
  <c r="U12" i="97"/>
  <c r="R12" i="97"/>
  <c r="O12" i="97"/>
  <c r="L12" i="97"/>
  <c r="I12" i="97"/>
  <c r="F12" i="97"/>
  <c r="U11" i="97"/>
  <c r="R11" i="97"/>
  <c r="O11" i="97"/>
  <c r="L11" i="97"/>
  <c r="I11" i="97"/>
  <c r="F11" i="97"/>
  <c r="U10" i="97"/>
  <c r="R10" i="97"/>
  <c r="O10" i="97"/>
  <c r="L10" i="97"/>
  <c r="I10" i="97"/>
  <c r="F10" i="97"/>
  <c r="U9" i="97"/>
  <c r="R9" i="97"/>
  <c r="O9" i="97"/>
  <c r="L9" i="97"/>
  <c r="I9" i="97"/>
  <c r="F9" i="97"/>
  <c r="U8" i="97"/>
  <c r="R8" i="97"/>
  <c r="O8" i="97"/>
  <c r="L8" i="97"/>
  <c r="I8" i="97"/>
  <c r="F8" i="97"/>
  <c r="U7" i="97"/>
  <c r="R7" i="97"/>
  <c r="O7" i="97"/>
  <c r="L7" i="97"/>
  <c r="I7" i="97"/>
  <c r="F7" i="97"/>
  <c r="U6" i="97"/>
  <c r="R6" i="97"/>
  <c r="Q43" i="97" s="1"/>
  <c r="O6" i="97"/>
  <c r="L6" i="97"/>
  <c r="K43" i="97" s="1"/>
  <c r="I6" i="97"/>
  <c r="H43" i="97" s="1"/>
  <c r="F6" i="97"/>
  <c r="E43" i="97" s="1"/>
  <c r="N43" i="97" l="1"/>
  <c r="T43" i="97"/>
  <c r="W44" i="97"/>
  <c r="W45" i="97" s="1"/>
  <c r="H44" i="97"/>
  <c r="H45" i="97" s="1"/>
  <c r="N44" i="97"/>
  <c r="N45" i="97" s="1"/>
  <c r="W46" i="97" s="1"/>
  <c r="T44" i="97"/>
  <c r="T45" i="97" s="1"/>
  <c r="E44" i="97"/>
  <c r="E45" i="97" s="1"/>
  <c r="K44" i="97"/>
  <c r="K45" i="97" s="1"/>
  <c r="Q44" i="97"/>
  <c r="Q45" i="97" s="1"/>
  <c r="M44" i="97"/>
  <c r="M45" i="97" s="1"/>
  <c r="G42" i="26"/>
  <c r="G44" i="26" s="1"/>
  <c r="J42" i="26"/>
  <c r="J44" i="26" s="1"/>
  <c r="M42" i="26"/>
  <c r="P42" i="26"/>
  <c r="P44" i="26" s="1"/>
  <c r="S42" i="26"/>
  <c r="S44" i="26" s="1"/>
  <c r="Y42" i="26"/>
  <c r="Y44" i="26" s="1"/>
  <c r="M43" i="26"/>
  <c r="D42" i="26"/>
  <c r="F8" i="26"/>
  <c r="I8" i="26"/>
  <c r="L8" i="26"/>
  <c r="O8" i="26"/>
  <c r="R8" i="26"/>
  <c r="U8" i="26"/>
  <c r="AA8" i="26"/>
  <c r="AA41" i="26"/>
  <c r="AA40" i="26"/>
  <c r="AA39" i="26"/>
  <c r="AA38" i="26"/>
  <c r="AA37" i="26"/>
  <c r="AA36" i="26"/>
  <c r="AA35" i="26"/>
  <c r="AA34" i="26"/>
  <c r="AA33" i="26"/>
  <c r="AA32" i="26"/>
  <c r="AA31" i="26"/>
  <c r="AA30" i="26"/>
  <c r="AA29" i="26"/>
  <c r="AA28" i="26"/>
  <c r="AA27" i="26"/>
  <c r="AA26" i="26"/>
  <c r="AA25" i="26"/>
  <c r="AA24" i="26"/>
  <c r="AA23" i="26"/>
  <c r="AA22" i="26"/>
  <c r="AA21" i="26"/>
  <c r="AA20" i="26"/>
  <c r="AA19" i="26"/>
  <c r="AA18" i="26"/>
  <c r="AA17" i="26"/>
  <c r="AA16" i="26"/>
  <c r="AA15" i="26"/>
  <c r="AA14" i="26"/>
  <c r="AA13" i="26"/>
  <c r="AA12" i="26"/>
  <c r="AA11" i="26"/>
  <c r="AA10" i="26"/>
  <c r="AA9" i="26"/>
  <c r="AA7" i="26"/>
  <c r="AA6" i="26"/>
  <c r="Z42" i="26" s="1"/>
  <c r="U41" i="26"/>
  <c r="U40" i="26"/>
  <c r="U39" i="26"/>
  <c r="U38" i="26"/>
  <c r="U37" i="26"/>
  <c r="U36" i="26"/>
  <c r="U35" i="26"/>
  <c r="U34" i="26"/>
  <c r="U33" i="26"/>
  <c r="U32" i="26"/>
  <c r="U31" i="26"/>
  <c r="U30" i="26"/>
  <c r="U29" i="26"/>
  <c r="U28" i="26"/>
  <c r="U27" i="26"/>
  <c r="U26" i="26"/>
  <c r="U25" i="26"/>
  <c r="U24" i="26"/>
  <c r="U23" i="26"/>
  <c r="U22" i="26"/>
  <c r="U21" i="26"/>
  <c r="U20" i="26"/>
  <c r="U19" i="26"/>
  <c r="U18" i="26"/>
  <c r="U17" i="26"/>
  <c r="U16" i="26"/>
  <c r="U15" i="26"/>
  <c r="U14" i="26"/>
  <c r="U13" i="26"/>
  <c r="U12" i="26"/>
  <c r="U11" i="26"/>
  <c r="U10" i="26"/>
  <c r="U9" i="26"/>
  <c r="U7" i="26"/>
  <c r="U6" i="26"/>
  <c r="R41" i="26"/>
  <c r="R40" i="26"/>
  <c r="R39" i="26"/>
  <c r="R38" i="26"/>
  <c r="R37" i="26"/>
  <c r="R36" i="26"/>
  <c r="R35" i="26"/>
  <c r="R34" i="26"/>
  <c r="R33" i="26"/>
  <c r="R32" i="26"/>
  <c r="R31" i="26"/>
  <c r="R30" i="26"/>
  <c r="R29" i="26"/>
  <c r="R28" i="26"/>
  <c r="R27" i="26"/>
  <c r="R26" i="26"/>
  <c r="R25" i="26"/>
  <c r="R24" i="26"/>
  <c r="R23" i="26"/>
  <c r="R22" i="26"/>
  <c r="R21" i="26"/>
  <c r="R20" i="26"/>
  <c r="R19" i="26"/>
  <c r="R18" i="26"/>
  <c r="R17" i="26"/>
  <c r="R16" i="26"/>
  <c r="R15" i="26"/>
  <c r="R14" i="26"/>
  <c r="R13" i="26"/>
  <c r="R12" i="26"/>
  <c r="R11" i="26"/>
  <c r="R10" i="26"/>
  <c r="R9" i="26"/>
  <c r="R7" i="26"/>
  <c r="R6" i="26"/>
  <c r="O41" i="26"/>
  <c r="O40" i="26"/>
  <c r="O39" i="26"/>
  <c r="O38" i="26"/>
  <c r="O37" i="26"/>
  <c r="O36" i="26"/>
  <c r="O35" i="26"/>
  <c r="O34" i="26"/>
  <c r="O33" i="26"/>
  <c r="O32" i="26"/>
  <c r="O31" i="26"/>
  <c r="O30" i="26"/>
  <c r="O29" i="26"/>
  <c r="O28" i="26"/>
  <c r="O27" i="26"/>
  <c r="O26" i="26"/>
  <c r="O25" i="26"/>
  <c r="O24" i="26"/>
  <c r="O23" i="26"/>
  <c r="O22" i="26"/>
  <c r="O21" i="26"/>
  <c r="O20" i="26"/>
  <c r="O19" i="26"/>
  <c r="O18" i="26"/>
  <c r="O17" i="26"/>
  <c r="O16" i="26"/>
  <c r="O15" i="26"/>
  <c r="O14" i="26"/>
  <c r="O13" i="26"/>
  <c r="O12" i="26"/>
  <c r="O11" i="26"/>
  <c r="O10" i="26"/>
  <c r="O9" i="26"/>
  <c r="O7" i="26"/>
  <c r="O6" i="26"/>
  <c r="L41" i="26"/>
  <c r="L40" i="26"/>
  <c r="L39" i="26"/>
  <c r="L38" i="26"/>
  <c r="L37" i="26"/>
  <c r="L36" i="26"/>
  <c r="L35" i="26"/>
  <c r="L34" i="26"/>
  <c r="L33" i="26"/>
  <c r="L32" i="26"/>
  <c r="L31" i="26"/>
  <c r="L30" i="26"/>
  <c r="L29" i="26"/>
  <c r="L28" i="26"/>
  <c r="L27" i="26"/>
  <c r="L26" i="26"/>
  <c r="L25" i="26"/>
  <c r="L24" i="26"/>
  <c r="L23" i="26"/>
  <c r="L22" i="26"/>
  <c r="L21" i="26"/>
  <c r="L20" i="26"/>
  <c r="L19" i="26"/>
  <c r="L18" i="26"/>
  <c r="L17" i="26"/>
  <c r="L16" i="26"/>
  <c r="L15" i="26"/>
  <c r="L14" i="26"/>
  <c r="L13" i="26"/>
  <c r="L12" i="26"/>
  <c r="L11" i="26"/>
  <c r="L10" i="26"/>
  <c r="L9" i="26"/>
  <c r="L7" i="26"/>
  <c r="L6" i="26"/>
  <c r="K42" i="26" s="1"/>
  <c r="I41" i="26"/>
  <c r="I40" i="26"/>
  <c r="I39" i="26"/>
  <c r="I38" i="26"/>
  <c r="I37" i="26"/>
  <c r="I36" i="26"/>
  <c r="I35" i="26"/>
  <c r="I34" i="26"/>
  <c r="I33" i="26"/>
  <c r="I32" i="26"/>
  <c r="I31" i="26"/>
  <c r="I30" i="26"/>
  <c r="I29" i="26"/>
  <c r="I28" i="26"/>
  <c r="I27" i="26"/>
  <c r="I26" i="26"/>
  <c r="I25" i="26"/>
  <c r="I24" i="26"/>
  <c r="I23" i="26"/>
  <c r="I22" i="26"/>
  <c r="I21" i="26"/>
  <c r="I20" i="26"/>
  <c r="I19" i="26"/>
  <c r="I18" i="26"/>
  <c r="I17" i="26"/>
  <c r="I16" i="26"/>
  <c r="I15" i="26"/>
  <c r="I14" i="26"/>
  <c r="I13" i="26"/>
  <c r="I12" i="26"/>
  <c r="I11" i="26"/>
  <c r="I10" i="26"/>
  <c r="I9" i="26"/>
  <c r="I7" i="26"/>
  <c r="I6" i="26"/>
  <c r="F7"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6" i="26"/>
  <c r="Z44" i="26" l="1"/>
  <c r="Z45" i="26" s="1"/>
  <c r="Z43" i="26"/>
  <c r="H42" i="26"/>
  <c r="N42" i="26"/>
  <c r="T42" i="26"/>
  <c r="K43" i="26"/>
  <c r="K44" i="26" s="1"/>
  <c r="Q42" i="26"/>
  <c r="Q43" i="26" s="1"/>
  <c r="E42" i="26"/>
  <c r="M44" i="26"/>
  <c r="E43" i="26"/>
  <c r="D58" i="36"/>
  <c r="D42" i="36"/>
  <c r="D26" i="36"/>
  <c r="H15" i="93"/>
  <c r="H14" i="93"/>
  <c r="H13" i="93"/>
  <c r="H12" i="93"/>
  <c r="H11" i="93"/>
  <c r="H10" i="93"/>
  <c r="H9" i="93"/>
  <c r="H8" i="93"/>
  <c r="H7" i="93"/>
  <c r="H6" i="93"/>
  <c r="H5" i="93"/>
  <c r="H4" i="93"/>
  <c r="H16" i="93" s="1"/>
  <c r="G13" i="78"/>
  <c r="G12" i="78"/>
  <c r="G11" i="78"/>
  <c r="G10" i="78"/>
  <c r="G9" i="78"/>
  <c r="G8" i="78"/>
  <c r="G7" i="78"/>
  <c r="G6" i="78"/>
  <c r="G14" i="78" s="1"/>
  <c r="G85" i="77"/>
  <c r="G84" i="77"/>
  <c r="G83" i="77"/>
  <c r="G82" i="77"/>
  <c r="G81" i="77"/>
  <c r="G80" i="77"/>
  <c r="G79" i="77"/>
  <c r="G74" i="77"/>
  <c r="G73" i="77"/>
  <c r="G72" i="77"/>
  <c r="G71" i="77"/>
  <c r="G70" i="77"/>
  <c r="G69" i="77"/>
  <c r="G68" i="77"/>
  <c r="G67" i="77"/>
  <c r="G66" i="77"/>
  <c r="G65" i="77"/>
  <c r="G64" i="77"/>
  <c r="G63" i="77"/>
  <c r="G62" i="77"/>
  <c r="G61" i="77"/>
  <c r="G60" i="77"/>
  <c r="G59" i="77"/>
  <c r="G58" i="77"/>
  <c r="G57" i="77"/>
  <c r="G56" i="77"/>
  <c r="G55" i="77"/>
  <c r="G54" i="77"/>
  <c r="G53" i="77"/>
  <c r="G52" i="77"/>
  <c r="G51" i="77"/>
  <c r="G50" i="77"/>
  <c r="G49" i="77"/>
  <c r="G48" i="77"/>
  <c r="G47" i="77"/>
  <c r="G46" i="77"/>
  <c r="G45" i="77"/>
  <c r="G44" i="77"/>
  <c r="G43" i="77"/>
  <c r="G42" i="77"/>
  <c r="G41" i="77"/>
  <c r="G40" i="77"/>
  <c r="G39" i="77"/>
  <c r="G38" i="77"/>
  <c r="G37" i="77"/>
  <c r="G36" i="77"/>
  <c r="G35" i="77"/>
  <c r="G34" i="77"/>
  <c r="G33" i="77"/>
  <c r="G32" i="77"/>
  <c r="G31" i="77"/>
  <c r="G30" i="77"/>
  <c r="G29" i="77"/>
  <c r="G28" i="77"/>
  <c r="G27" i="77"/>
  <c r="G26" i="77"/>
  <c r="G25" i="77"/>
  <c r="G24" i="77"/>
  <c r="G23" i="77"/>
  <c r="G22" i="77"/>
  <c r="G21" i="77"/>
  <c r="G20" i="77"/>
  <c r="G19" i="77"/>
  <c r="G18" i="77"/>
  <c r="G17" i="77"/>
  <c r="G16" i="77"/>
  <c r="G15" i="77"/>
  <c r="G14" i="77"/>
  <c r="G13" i="77"/>
  <c r="G12" i="77"/>
  <c r="G11" i="77"/>
  <c r="G10" i="77"/>
  <c r="G9" i="77"/>
  <c r="G8" i="77"/>
  <c r="G7" i="77"/>
  <c r="G6" i="77"/>
  <c r="G86" i="77" s="1"/>
  <c r="T43" i="26" l="1"/>
  <c r="T44" i="26" s="1"/>
  <c r="H43" i="26"/>
  <c r="H44" i="26" s="1"/>
  <c r="E44" i="26"/>
  <c r="N43" i="26"/>
  <c r="N44" i="26" s="1"/>
  <c r="Q44" i="26"/>
  <c r="H18" i="93"/>
  <c r="G15" i="78"/>
  <c r="G16" i="78" s="1"/>
  <c r="G87" i="77"/>
  <c r="G88" i="77" s="1"/>
  <c r="D18" i="36"/>
  <c r="D62" i="36"/>
  <c r="D34" i="36"/>
  <c r="J49" i="37" l="1"/>
  <c r="I49" i="37"/>
  <c r="H49" i="37"/>
  <c r="G49" i="37"/>
  <c r="F49" i="37"/>
  <c r="E49" i="37"/>
  <c r="D49" i="37"/>
  <c r="C49" i="37"/>
  <c r="K48" i="37"/>
  <c r="K47" i="37"/>
  <c r="K46" i="37"/>
  <c r="K45" i="37"/>
  <c r="K44" i="37"/>
  <c r="K43" i="37"/>
  <c r="K42" i="37"/>
  <c r="K41" i="37"/>
  <c r="K40" i="37"/>
  <c r="K39" i="37"/>
  <c r="K38" i="37"/>
  <c r="K37" i="37"/>
  <c r="K36" i="37"/>
  <c r="K35" i="37"/>
  <c r="K34" i="37"/>
  <c r="K33" i="37"/>
  <c r="K32" i="37"/>
  <c r="K31" i="37"/>
  <c r="K30" i="37"/>
  <c r="K25" i="37"/>
  <c r="K24" i="37"/>
  <c r="K23" i="37"/>
  <c r="K22" i="37"/>
  <c r="K21" i="37"/>
  <c r="K20" i="37"/>
  <c r="K19" i="37"/>
  <c r="K18" i="37"/>
  <c r="K17" i="37"/>
  <c r="K16" i="37"/>
  <c r="K15" i="37"/>
  <c r="K14" i="37"/>
  <c r="K13" i="37"/>
  <c r="K12" i="37"/>
  <c r="K11" i="37"/>
  <c r="K10" i="37"/>
  <c r="K9" i="37"/>
  <c r="K8" i="37"/>
  <c r="K7" i="37"/>
  <c r="K6" i="37"/>
  <c r="K5" i="37"/>
  <c r="M46" i="39"/>
  <c r="N6" i="88"/>
  <c r="N7" i="88"/>
  <c r="N8" i="88"/>
  <c r="N9" i="88"/>
  <c r="N10" i="88"/>
  <c r="N11" i="88"/>
  <c r="N12" i="88"/>
  <c r="N13" i="88"/>
  <c r="N14" i="88"/>
  <c r="N15" i="88"/>
  <c r="N16" i="88"/>
  <c r="N17" i="88"/>
  <c r="N18" i="88"/>
  <c r="N19" i="88"/>
  <c r="N20" i="88"/>
  <c r="N21" i="88"/>
  <c r="N22" i="88"/>
  <c r="N23" i="88"/>
  <c r="N24" i="88"/>
  <c r="N25" i="88"/>
  <c r="N26" i="88"/>
  <c r="N27" i="88"/>
  <c r="N28" i="88"/>
  <c r="N29" i="88"/>
  <c r="N30" i="88"/>
  <c r="N31" i="88"/>
  <c r="N32" i="88"/>
  <c r="N33" i="88"/>
  <c r="N34" i="88"/>
  <c r="N35" i="88"/>
  <c r="N40" i="88"/>
  <c r="N41" i="88"/>
  <c r="N42" i="88"/>
  <c r="N43" i="88"/>
  <c r="N44" i="88"/>
  <c r="N45" i="88"/>
  <c r="N46" i="88"/>
  <c r="N47" i="88"/>
  <c r="N48" i="88"/>
  <c r="N5" i="88"/>
  <c r="K49" i="37" l="1"/>
  <c r="K50" i="37" s="1"/>
  <c r="K51" i="37" s="1"/>
  <c r="D54" i="36"/>
  <c r="D50" i="36"/>
  <c r="D46" i="36"/>
  <c r="D30" i="36"/>
  <c r="D14" i="36"/>
  <c r="D10" i="36"/>
  <c r="E48" i="19" l="1"/>
  <c r="E47" i="19"/>
  <c r="E4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6" i="19"/>
  <c r="E106" i="1" l="1"/>
  <c r="G20" i="8"/>
  <c r="G19" i="8"/>
  <c r="G18" i="8"/>
  <c r="G5" i="8"/>
  <c r="G6" i="8"/>
  <c r="G7" i="8"/>
  <c r="G8" i="8"/>
  <c r="G9" i="8"/>
  <c r="G10" i="8"/>
  <c r="G11" i="8"/>
  <c r="G12" i="8"/>
  <c r="G13" i="8"/>
  <c r="G14" i="8"/>
  <c r="G15" i="8"/>
  <c r="G16" i="8"/>
  <c r="G17" i="8"/>
  <c r="G4" i="8"/>
  <c r="L45" i="92" l="1"/>
  <c r="L46" i="92" s="1"/>
  <c r="L47" i="92" s="1"/>
  <c r="M45" i="92"/>
  <c r="N45" i="92"/>
  <c r="N46" i="92" s="1"/>
  <c r="N47" i="92" s="1"/>
  <c r="M46" i="92"/>
  <c r="M47" i="92" s="1"/>
  <c r="V16" i="18" l="1"/>
  <c r="C49" i="89" l="1"/>
  <c r="C50" i="89" l="1"/>
  <c r="E6" i="6" l="1"/>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27" i="1"/>
  <c r="E77" i="1"/>
  <c r="E7" i="1"/>
  <c r="E46" i="1"/>
  <c r="E48" i="1"/>
  <c r="E57" i="1"/>
  <c r="D190" i="1"/>
  <c r="E190" i="1" s="1"/>
  <c r="D189" i="1"/>
  <c r="E189" i="1" s="1"/>
  <c r="D188" i="1"/>
  <c r="E188" i="1" s="1"/>
  <c r="D187" i="1"/>
  <c r="E187" i="1" s="1"/>
  <c r="D186" i="1"/>
  <c r="E186" i="1" s="1"/>
  <c r="D185" i="1"/>
  <c r="E185" i="1" s="1"/>
  <c r="D184" i="1"/>
  <c r="E184" i="1" s="1"/>
  <c r="D183" i="1"/>
  <c r="E183" i="1" s="1"/>
  <c r="D182" i="1"/>
  <c r="E182" i="1" s="1"/>
  <c r="D181" i="1"/>
  <c r="E181" i="1" s="1"/>
  <c r="D180" i="1"/>
  <c r="E180" i="1" s="1"/>
  <c r="D177" i="1"/>
  <c r="E177" i="1" s="1"/>
  <c r="D176" i="1"/>
  <c r="E176" i="1" s="1"/>
  <c r="D175" i="1"/>
  <c r="E175" i="1" s="1"/>
  <c r="D174" i="1"/>
  <c r="E174" i="1" s="1"/>
  <c r="D173" i="1"/>
  <c r="E173" i="1" s="1"/>
  <c r="D172" i="1"/>
  <c r="E172" i="1" s="1"/>
  <c r="D171" i="1"/>
  <c r="E171" i="1" s="1"/>
  <c r="D170" i="1"/>
  <c r="E170" i="1" s="1"/>
  <c r="D169" i="1"/>
  <c r="E169" i="1" s="1"/>
  <c r="D168" i="1"/>
  <c r="E168" i="1" s="1"/>
  <c r="D167" i="1"/>
  <c r="E167" i="1" s="1"/>
  <c r="D166" i="1"/>
  <c r="E166" i="1" s="1"/>
  <c r="D165" i="1"/>
  <c r="E165" i="1" s="1"/>
  <c r="D164" i="1"/>
  <c r="E164" i="1" s="1"/>
  <c r="D163" i="1"/>
  <c r="E163" i="1" s="1"/>
  <c r="D162" i="1"/>
  <c r="E162" i="1" s="1"/>
  <c r="D161" i="1"/>
  <c r="E161" i="1" s="1"/>
  <c r="D160" i="1"/>
  <c r="E160" i="1" s="1"/>
  <c r="D159" i="1"/>
  <c r="E159" i="1" s="1"/>
  <c r="D158" i="1"/>
  <c r="E158" i="1" s="1"/>
  <c r="D157" i="1"/>
  <c r="E157" i="1" s="1"/>
  <c r="D156" i="1"/>
  <c r="E156" i="1" s="1"/>
  <c r="D155" i="1"/>
  <c r="E155" i="1" s="1"/>
  <c r="D154" i="1"/>
  <c r="E154" i="1" s="1"/>
  <c r="D153" i="1"/>
  <c r="E153" i="1" s="1"/>
  <c r="D152" i="1"/>
  <c r="E152" i="1" s="1"/>
  <c r="D151" i="1"/>
  <c r="E151" i="1" s="1"/>
  <c r="D150" i="1"/>
  <c r="E150" i="1" s="1"/>
  <c r="D149" i="1"/>
  <c r="E149" i="1" s="1"/>
  <c r="D148" i="1"/>
  <c r="E148" i="1" s="1"/>
  <c r="D147" i="1"/>
  <c r="E147" i="1" s="1"/>
  <c r="D146" i="1"/>
  <c r="E146" i="1" s="1"/>
  <c r="D145" i="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5" i="1"/>
  <c r="E105" i="1" s="1"/>
  <c r="D104" i="1"/>
  <c r="E104" i="1" s="1"/>
  <c r="D103" i="1"/>
  <c r="E103" i="1" s="1"/>
  <c r="D102" i="1"/>
  <c r="E102" i="1" s="1"/>
  <c r="D101" i="1"/>
  <c r="E101" i="1" s="1"/>
  <c r="D100" i="1"/>
  <c r="E100" i="1" s="1"/>
  <c r="D99" i="1"/>
  <c r="E99" i="1" s="1"/>
  <c r="D98" i="1"/>
  <c r="E98" i="1" s="1"/>
  <c r="D97" i="1"/>
  <c r="E97" i="1" s="1"/>
  <c r="D96" i="1"/>
  <c r="E96" i="1" s="1"/>
  <c r="D95" i="1"/>
  <c r="E95" i="1" s="1"/>
  <c r="D94" i="1"/>
  <c r="E94" i="1" s="1"/>
  <c r="D93" i="1"/>
  <c r="E93" i="1" s="1"/>
  <c r="D92" i="1"/>
  <c r="E92" i="1" s="1"/>
  <c r="D91" i="1"/>
  <c r="E91" i="1" s="1"/>
  <c r="D89" i="1"/>
  <c r="E89" i="1" s="1"/>
  <c r="D88" i="1"/>
  <c r="E88" i="1" s="1"/>
  <c r="D87" i="1"/>
  <c r="E87" i="1" s="1"/>
  <c r="D86" i="1"/>
  <c r="E86" i="1" s="1"/>
  <c r="D85" i="1"/>
  <c r="E85" i="1" s="1"/>
  <c r="D84" i="1"/>
  <c r="E84" i="1" s="1"/>
  <c r="D83" i="1"/>
  <c r="E83" i="1" s="1"/>
  <c r="D82" i="1"/>
  <c r="E82" i="1" s="1"/>
  <c r="D81" i="1"/>
  <c r="E81" i="1" s="1"/>
  <c r="E80" i="1"/>
  <c r="E78" i="1"/>
  <c r="E76" i="1"/>
  <c r="E74" i="1"/>
  <c r="E73" i="1"/>
  <c r="E72" i="1"/>
  <c r="E71" i="1"/>
  <c r="E70" i="1"/>
  <c r="E69" i="1"/>
  <c r="E68" i="1"/>
  <c r="E67" i="1"/>
  <c r="E66" i="1"/>
  <c r="D65" i="1"/>
  <c r="E65" i="1" s="1"/>
  <c r="E64" i="1"/>
  <c r="E63" i="1"/>
  <c r="E62" i="1"/>
  <c r="E59" i="1"/>
  <c r="E58" i="1"/>
  <c r="D56" i="1"/>
  <c r="E56" i="1" s="1"/>
  <c r="E55" i="1"/>
  <c r="D54" i="1"/>
  <c r="E54" i="1" s="1"/>
  <c r="D53" i="1"/>
  <c r="E53" i="1" s="1"/>
  <c r="D52" i="1"/>
  <c r="E52" i="1" s="1"/>
  <c r="E51" i="1"/>
  <c r="E50" i="1"/>
  <c r="D49" i="1"/>
  <c r="E49" i="1" s="1"/>
  <c r="E47" i="1"/>
  <c r="E43" i="1"/>
  <c r="E40" i="1"/>
  <c r="E39" i="1"/>
  <c r="E38" i="1"/>
  <c r="D37" i="1"/>
  <c r="E37" i="1" s="1"/>
  <c r="E36" i="1"/>
  <c r="E35" i="1"/>
  <c r="E33" i="1"/>
  <c r="D32" i="1"/>
  <c r="E32" i="1" s="1"/>
  <c r="D31" i="1"/>
  <c r="E31" i="1" s="1"/>
  <c r="D30" i="1"/>
  <c r="E30" i="1" s="1"/>
  <c r="D29" i="1"/>
  <c r="E29" i="1" s="1"/>
  <c r="D28" i="1"/>
  <c r="E28" i="1" s="1"/>
  <c r="E26" i="1"/>
  <c r="D25" i="1"/>
  <c r="E25" i="1" s="1"/>
  <c r="E24" i="1"/>
  <c r="D23" i="1"/>
  <c r="E23" i="1" s="1"/>
  <c r="E22" i="1"/>
  <c r="E21" i="1"/>
  <c r="D20" i="1"/>
  <c r="E20" i="1" s="1"/>
  <c r="D19" i="1"/>
  <c r="E19" i="1" s="1"/>
  <c r="D18" i="1"/>
  <c r="E18" i="1" s="1"/>
  <c r="E17" i="1"/>
  <c r="E16" i="1"/>
  <c r="E15" i="1"/>
  <c r="D14" i="1"/>
  <c r="E14" i="1" s="1"/>
  <c r="E13" i="1"/>
  <c r="E12" i="1"/>
  <c r="E11" i="1"/>
  <c r="D10" i="1"/>
  <c r="E10" i="1" s="1"/>
  <c r="D9" i="1"/>
  <c r="E9" i="1" s="1"/>
  <c r="D8" i="1"/>
  <c r="E8" i="1" s="1"/>
  <c r="E6" i="1"/>
  <c r="E5" i="1"/>
  <c r="D4" i="1"/>
  <c r="E4" i="1" s="1"/>
  <c r="D3" i="1"/>
  <c r="E3" i="1" s="1"/>
  <c r="P9" i="14" l="1"/>
  <c r="P11" i="14"/>
  <c r="P8" i="14"/>
  <c r="O38" i="14"/>
  <c r="M37" i="14"/>
  <c r="O36" i="14"/>
  <c r="O35" i="14"/>
  <c r="M35" i="14"/>
  <c r="O34" i="14"/>
  <c r="M34" i="14"/>
  <c r="O33" i="14"/>
  <c r="O32" i="14"/>
  <c r="O39" i="14" l="1"/>
  <c r="P13" i="14"/>
  <c r="P14" i="14" s="1"/>
  <c r="O37" i="14"/>
  <c r="O40" i="14" s="1"/>
  <c r="O41" i="14" l="1"/>
  <c r="O42" i="14"/>
  <c r="P15" i="14"/>
  <c r="P16" i="14" s="1"/>
  <c r="O44" i="14" l="1"/>
  <c r="D48" i="32"/>
  <c r="D49" i="31"/>
  <c r="D48" i="31"/>
  <c r="D9" i="31"/>
  <c r="D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8" i="31"/>
  <c r="D7" i="31"/>
  <c r="F29" i="21"/>
  <c r="E29" i="21"/>
  <c r="D29" i="21"/>
  <c r="L16" i="17"/>
  <c r="G31" i="21" l="1"/>
  <c r="D47" i="31"/>
  <c r="T6" i="92" l="1"/>
  <c r="T7" i="92"/>
  <c r="T8" i="92"/>
  <c r="T9" i="92"/>
  <c r="T10" i="92"/>
  <c r="T11" i="92"/>
  <c r="T12" i="92"/>
  <c r="T13" i="92"/>
  <c r="T14" i="92"/>
  <c r="T15" i="92"/>
  <c r="T16" i="92"/>
  <c r="T17" i="92"/>
  <c r="T18" i="92"/>
  <c r="T19" i="92"/>
  <c r="T20" i="92"/>
  <c r="T21" i="92"/>
  <c r="T22" i="92"/>
  <c r="T23" i="92"/>
  <c r="T24" i="92"/>
  <c r="T25" i="92"/>
  <c r="T26" i="92"/>
  <c r="T27" i="92"/>
  <c r="T28" i="92"/>
  <c r="T29" i="92"/>
  <c r="T30" i="92"/>
  <c r="T31" i="92"/>
  <c r="T32" i="92"/>
  <c r="T33" i="92"/>
  <c r="T34" i="92"/>
  <c r="T35" i="92"/>
  <c r="T36" i="92"/>
  <c r="T37" i="92"/>
  <c r="T38" i="92"/>
  <c r="T39" i="92"/>
  <c r="T40" i="92"/>
  <c r="T41" i="92"/>
  <c r="T42" i="92"/>
  <c r="T43" i="92"/>
  <c r="T44" i="92"/>
  <c r="T5" i="92"/>
  <c r="U6" i="87" l="1"/>
  <c r="U7" i="87"/>
  <c r="U8" i="87"/>
  <c r="U9" i="87"/>
  <c r="U10" i="87"/>
  <c r="U11" i="87"/>
  <c r="U12" i="87"/>
  <c r="U13" i="87"/>
  <c r="U14" i="87"/>
  <c r="U15" i="87"/>
  <c r="U16" i="87"/>
  <c r="U17" i="87"/>
  <c r="U18" i="87"/>
  <c r="U19" i="87"/>
  <c r="U20" i="87"/>
  <c r="U21" i="87"/>
  <c r="U22" i="87"/>
  <c r="U23" i="87"/>
  <c r="U24" i="87"/>
  <c r="U25" i="87"/>
  <c r="U26" i="87"/>
  <c r="U27" i="87"/>
  <c r="U28" i="87"/>
  <c r="U29" i="87"/>
  <c r="U30" i="87"/>
  <c r="U31" i="87"/>
  <c r="U32" i="87"/>
  <c r="U33" i="87"/>
  <c r="U34" i="87"/>
  <c r="U35" i="87"/>
  <c r="U36" i="87"/>
  <c r="U37" i="87"/>
  <c r="U38" i="87"/>
  <c r="U39" i="87"/>
  <c r="U40" i="87"/>
  <c r="U41" i="87"/>
  <c r="U42" i="87"/>
  <c r="U43" i="87"/>
  <c r="U44" i="87"/>
  <c r="U5" i="87"/>
  <c r="G46" i="23"/>
  <c r="G47" i="23" s="1"/>
  <c r="G48" i="23" s="1"/>
  <c r="L45" i="24"/>
  <c r="L46" i="24" s="1"/>
  <c r="L47" i="24" s="1"/>
  <c r="U44" i="24"/>
  <c r="U6" i="24"/>
  <c r="U7" i="24"/>
  <c r="U8" i="24"/>
  <c r="U9"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U39" i="24"/>
  <c r="U40" i="24"/>
  <c r="U41" i="24"/>
  <c r="U42" i="24"/>
  <c r="U43" i="24"/>
  <c r="U5" i="24"/>
  <c r="U9"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U39" i="22"/>
  <c r="U40" i="22"/>
  <c r="U41" i="22"/>
  <c r="U42" i="22"/>
  <c r="U43" i="22"/>
  <c r="U44" i="22"/>
  <c r="U45" i="22"/>
  <c r="U46" i="22"/>
  <c r="U47" i="22"/>
  <c r="U8" i="22"/>
  <c r="S45" i="87"/>
  <c r="T45" i="87"/>
  <c r="T46" i="87" s="1"/>
  <c r="T47" i="87" s="1"/>
  <c r="S46" i="87"/>
  <c r="S47" i="87" s="1"/>
  <c r="K45" i="87"/>
  <c r="K46" i="87" s="1"/>
  <c r="G65" i="75"/>
  <c r="G116" i="75"/>
  <c r="U48" i="22" l="1"/>
  <c r="K47" i="87"/>
  <c r="H45" i="92"/>
  <c r="H46" i="92" s="1"/>
  <c r="H47" i="92" s="1"/>
  <c r="I45" i="92"/>
  <c r="J45" i="92"/>
  <c r="J46" i="92" s="1"/>
  <c r="J47" i="92" s="1"/>
  <c r="K45" i="92"/>
  <c r="K46" i="92" s="1"/>
  <c r="K47" i="92" s="1"/>
  <c r="S45" i="92"/>
  <c r="G45" i="92"/>
  <c r="G46" i="92" s="1"/>
  <c r="G47" i="92" s="1"/>
  <c r="S46" i="92" l="1"/>
  <c r="S47" i="92" s="1"/>
  <c r="I46" i="92"/>
  <c r="I47" i="92" s="1"/>
  <c r="E7" i="20" l="1"/>
  <c r="E8" i="20"/>
  <c r="E6" i="20"/>
  <c r="E64" i="20"/>
  <c r="E65" i="20"/>
  <c r="E59" i="20"/>
  <c r="G213" i="75" l="1"/>
  <c r="G212" i="75"/>
  <c r="G211" i="75"/>
  <c r="G214" i="75"/>
  <c r="G208" i="75"/>
  <c r="G207" i="75"/>
  <c r="G206" i="75"/>
  <c r="G24" i="75"/>
  <c r="G23" i="75"/>
  <c r="G22" i="75"/>
  <c r="G21" i="75"/>
  <c r="G20" i="75"/>
  <c r="G117" i="75"/>
  <c r="G29" i="75"/>
  <c r="G28" i="75"/>
  <c r="G183" i="75"/>
  <c r="G92" i="75"/>
  <c r="G185" i="75"/>
  <c r="G184" i="75"/>
  <c r="G153" i="75"/>
  <c r="G154" i="75"/>
  <c r="G125" i="75"/>
  <c r="G150" i="75"/>
  <c r="G131" i="75"/>
  <c r="G138" i="75"/>
  <c r="G128" i="75"/>
  <c r="G130" i="75"/>
  <c r="G121" i="75"/>
  <c r="G132" i="75"/>
  <c r="G129" i="75"/>
  <c r="G127" i="75"/>
  <c r="G126" i="75"/>
  <c r="G114" i="75"/>
  <c r="G140" i="75"/>
  <c r="G64" i="75"/>
  <c r="G63" i="75"/>
  <c r="G62" i="75"/>
  <c r="G59" i="75"/>
  <c r="G142" i="75"/>
  <c r="G124" i="75"/>
  <c r="G139" i="75"/>
  <c r="G115" i="75"/>
  <c r="G80" i="75"/>
  <c r="G205" i="75"/>
  <c r="G156" i="75"/>
  <c r="G155" i="75"/>
  <c r="G152" i="75"/>
  <c r="G151" i="75"/>
  <c r="G149" i="75"/>
  <c r="G148" i="75"/>
  <c r="G97" i="75"/>
  <c r="G55" i="75"/>
  <c r="G56" i="75"/>
  <c r="G91" i="75"/>
  <c r="G52" i="75"/>
  <c r="F45" i="92" l="1"/>
  <c r="E45" i="92"/>
  <c r="T45" i="92" l="1"/>
  <c r="F46" i="92"/>
  <c r="F47" i="92" s="1"/>
  <c r="E46" i="92"/>
  <c r="L8" i="18"/>
  <c r="M47" i="90"/>
  <c r="O8" i="90"/>
  <c r="O10" i="90"/>
  <c r="O11" i="90"/>
  <c r="O12" i="90"/>
  <c r="O13" i="90"/>
  <c r="O14" i="90"/>
  <c r="O15" i="90"/>
  <c r="O16" i="90"/>
  <c r="O17" i="90"/>
  <c r="O18" i="90"/>
  <c r="O19" i="90"/>
  <c r="O20" i="90"/>
  <c r="O21" i="90"/>
  <c r="O22" i="90"/>
  <c r="O23" i="90"/>
  <c r="O24" i="90"/>
  <c r="O25" i="90"/>
  <c r="O26" i="90"/>
  <c r="O27" i="90"/>
  <c r="O28" i="90"/>
  <c r="O29" i="90"/>
  <c r="O30" i="90"/>
  <c r="O31" i="90"/>
  <c r="O32" i="90"/>
  <c r="O33" i="90"/>
  <c r="O34" i="90"/>
  <c r="O35" i="90"/>
  <c r="O36" i="90"/>
  <c r="O37" i="90"/>
  <c r="O38" i="90"/>
  <c r="O39" i="90"/>
  <c r="O40" i="90"/>
  <c r="O41" i="90"/>
  <c r="O42" i="90"/>
  <c r="O43" i="90"/>
  <c r="O44" i="90"/>
  <c r="O45" i="90"/>
  <c r="O7" i="90"/>
  <c r="J47" i="90"/>
  <c r="G47" i="90"/>
  <c r="L8" i="90"/>
  <c r="L10" i="90"/>
  <c r="L11" i="90"/>
  <c r="L12" i="90"/>
  <c r="L13" i="90"/>
  <c r="L14" i="90"/>
  <c r="L15" i="90"/>
  <c r="L16" i="90"/>
  <c r="L17" i="90"/>
  <c r="L18" i="90"/>
  <c r="L19" i="90"/>
  <c r="L20" i="90"/>
  <c r="L21" i="90"/>
  <c r="L22" i="90"/>
  <c r="L23" i="90"/>
  <c r="L24" i="90"/>
  <c r="L25" i="90"/>
  <c r="L26" i="90"/>
  <c r="L27" i="90"/>
  <c r="L28" i="90"/>
  <c r="L29" i="90"/>
  <c r="L30" i="90"/>
  <c r="L31" i="90"/>
  <c r="L32" i="90"/>
  <c r="L33" i="90"/>
  <c r="L34" i="90"/>
  <c r="L35" i="90"/>
  <c r="L36" i="90"/>
  <c r="L37" i="90"/>
  <c r="L38" i="90"/>
  <c r="L39" i="90"/>
  <c r="L40" i="90"/>
  <c r="L41" i="90"/>
  <c r="L42" i="90"/>
  <c r="L43" i="90"/>
  <c r="L44" i="90"/>
  <c r="L45" i="90"/>
  <c r="L7" i="90"/>
  <c r="I8" i="90"/>
  <c r="I10" i="90"/>
  <c r="I11" i="90"/>
  <c r="I12" i="90"/>
  <c r="I13" i="90"/>
  <c r="I14" i="90"/>
  <c r="I15" i="90"/>
  <c r="I16" i="90"/>
  <c r="I17" i="90"/>
  <c r="I18" i="90"/>
  <c r="I19" i="90"/>
  <c r="I20" i="90"/>
  <c r="I21" i="90"/>
  <c r="I22" i="90"/>
  <c r="I23" i="90"/>
  <c r="I24" i="90"/>
  <c r="I25" i="90"/>
  <c r="I26" i="90"/>
  <c r="I27" i="90"/>
  <c r="I28" i="90"/>
  <c r="I29" i="90"/>
  <c r="I30" i="90"/>
  <c r="I31" i="90"/>
  <c r="I32" i="90"/>
  <c r="I33" i="90"/>
  <c r="I34" i="90"/>
  <c r="I35" i="90"/>
  <c r="I36" i="90"/>
  <c r="I37" i="90"/>
  <c r="I38" i="90"/>
  <c r="I39" i="90"/>
  <c r="I40" i="90"/>
  <c r="I41" i="90"/>
  <c r="I42" i="90"/>
  <c r="I43" i="90"/>
  <c r="I44" i="90"/>
  <c r="I45" i="90"/>
  <c r="I7" i="90"/>
  <c r="F8" i="90"/>
  <c r="F10" i="90"/>
  <c r="F11" i="90"/>
  <c r="F12" i="90"/>
  <c r="F13" i="90"/>
  <c r="F14" i="90"/>
  <c r="F15" i="90"/>
  <c r="F16" i="90"/>
  <c r="F17" i="90"/>
  <c r="F18" i="90"/>
  <c r="F19" i="90"/>
  <c r="F20" i="90"/>
  <c r="F21" i="90"/>
  <c r="F22" i="90"/>
  <c r="F23" i="90"/>
  <c r="F24" i="90"/>
  <c r="F25" i="90"/>
  <c r="F26" i="90"/>
  <c r="F27" i="90"/>
  <c r="F28" i="90"/>
  <c r="F29" i="90"/>
  <c r="F30" i="90"/>
  <c r="F31" i="90"/>
  <c r="F32" i="90"/>
  <c r="F33" i="90"/>
  <c r="F34" i="90"/>
  <c r="F35" i="90"/>
  <c r="F36" i="90"/>
  <c r="F37" i="90"/>
  <c r="F38" i="90"/>
  <c r="F39" i="90"/>
  <c r="F40" i="90"/>
  <c r="F41" i="90"/>
  <c r="F42" i="90"/>
  <c r="F43" i="90"/>
  <c r="F44" i="90"/>
  <c r="F45" i="90"/>
  <c r="F7" i="90"/>
  <c r="E47" i="92" l="1"/>
  <c r="T47" i="92" s="1"/>
  <c r="T46" i="92"/>
  <c r="L45" i="87"/>
  <c r="L46" i="87" s="1"/>
  <c r="L47" i="87" s="1"/>
  <c r="M45" i="87"/>
  <c r="M46" i="87" s="1"/>
  <c r="M47" i="87" s="1"/>
  <c r="N45" i="87"/>
  <c r="N46" i="87" s="1"/>
  <c r="N47" i="87" s="1"/>
  <c r="O45" i="87"/>
  <c r="O46" i="87" s="1"/>
  <c r="O47" i="87" s="1"/>
  <c r="P45" i="87"/>
  <c r="P46" i="87" s="1"/>
  <c r="P47" i="87" s="1"/>
  <c r="Q45" i="87"/>
  <c r="Q46" i="87" s="1"/>
  <c r="Q47" i="87" s="1"/>
  <c r="R45" i="87"/>
  <c r="R46" i="87" s="1"/>
  <c r="P48" i="90" l="1"/>
  <c r="R47" i="87"/>
  <c r="L48" i="89"/>
  <c r="L49" i="89" l="1"/>
  <c r="L50" i="89" s="1"/>
  <c r="F46" i="6"/>
  <c r="F46" i="4"/>
  <c r="C46" i="4"/>
  <c r="K45" i="4"/>
  <c r="H45" i="4"/>
  <c r="K44" i="4"/>
  <c r="H44" i="4"/>
  <c r="K43" i="4"/>
  <c r="H43" i="4"/>
  <c r="E43" i="4"/>
  <c r="K42" i="4"/>
  <c r="H42" i="4"/>
  <c r="E42" i="4"/>
  <c r="K41" i="4"/>
  <c r="H41" i="4"/>
  <c r="E41" i="4"/>
  <c r="K40" i="4"/>
  <c r="H40" i="4"/>
  <c r="E40" i="4"/>
  <c r="K39" i="4"/>
  <c r="H39" i="4"/>
  <c r="E39" i="4"/>
  <c r="K38" i="4"/>
  <c r="H38" i="4"/>
  <c r="E38" i="4"/>
  <c r="K37" i="4"/>
  <c r="H37" i="4"/>
  <c r="E37" i="4"/>
  <c r="K36" i="4"/>
  <c r="H36" i="4"/>
  <c r="E36" i="4"/>
  <c r="K35" i="4"/>
  <c r="H35" i="4"/>
  <c r="E35" i="4"/>
  <c r="K34" i="4"/>
  <c r="H34" i="4"/>
  <c r="E34" i="4"/>
  <c r="K33" i="4"/>
  <c r="H33" i="4"/>
  <c r="E33" i="4"/>
  <c r="K32" i="4"/>
  <c r="H32" i="4"/>
  <c r="E32" i="4"/>
  <c r="K31" i="4"/>
  <c r="H31" i="4"/>
  <c r="E31" i="4"/>
  <c r="K30" i="4"/>
  <c r="H30" i="4"/>
  <c r="E30" i="4"/>
  <c r="K29" i="4"/>
  <c r="H29" i="4"/>
  <c r="E29" i="4"/>
  <c r="K28" i="4"/>
  <c r="H28" i="4"/>
  <c r="E28" i="4"/>
  <c r="K27" i="4"/>
  <c r="H27" i="4"/>
  <c r="E27" i="4"/>
  <c r="K26" i="4"/>
  <c r="H26" i="4"/>
  <c r="E26" i="4"/>
  <c r="K25" i="4"/>
  <c r="H25" i="4"/>
  <c r="E25" i="4"/>
  <c r="K24" i="4"/>
  <c r="H24" i="4"/>
  <c r="E24" i="4"/>
  <c r="K23" i="4"/>
  <c r="H23" i="4"/>
  <c r="E23" i="4"/>
  <c r="K22" i="4"/>
  <c r="H22" i="4"/>
  <c r="E22" i="4"/>
  <c r="K21" i="4"/>
  <c r="H21" i="4"/>
  <c r="E21" i="4"/>
  <c r="K20" i="4"/>
  <c r="H20" i="4"/>
  <c r="E20" i="4"/>
  <c r="K19" i="4"/>
  <c r="H19" i="4"/>
  <c r="E19" i="4"/>
  <c r="K18" i="4"/>
  <c r="H18" i="4"/>
  <c r="E18" i="4"/>
  <c r="K17" i="4"/>
  <c r="H17" i="4"/>
  <c r="E17" i="4"/>
  <c r="K16" i="4"/>
  <c r="H16" i="4"/>
  <c r="E16" i="4"/>
  <c r="K15" i="4"/>
  <c r="H15" i="4"/>
  <c r="E15" i="4"/>
  <c r="K14" i="4"/>
  <c r="H14" i="4"/>
  <c r="E14" i="4"/>
  <c r="K13" i="4"/>
  <c r="H13" i="4"/>
  <c r="E13" i="4"/>
  <c r="K12" i="4"/>
  <c r="H12" i="4"/>
  <c r="E12" i="4"/>
  <c r="K11" i="4"/>
  <c r="H11" i="4"/>
  <c r="E11" i="4"/>
  <c r="K10" i="4"/>
  <c r="H10" i="4"/>
  <c r="E10" i="4"/>
  <c r="K9" i="4"/>
  <c r="H9" i="4"/>
  <c r="E9" i="4"/>
  <c r="K8" i="4"/>
  <c r="H8" i="4"/>
  <c r="E8" i="4"/>
  <c r="K7" i="4"/>
  <c r="H7" i="4"/>
  <c r="E7" i="4"/>
  <c r="K6" i="4"/>
  <c r="K46" i="4" s="1"/>
  <c r="H6" i="4"/>
  <c r="H46" i="4" s="1"/>
  <c r="E6" i="4"/>
  <c r="E46" i="4" s="1"/>
  <c r="D49" i="88"/>
  <c r="E49" i="88"/>
  <c r="F49" i="88"/>
  <c r="G49" i="88"/>
  <c r="H49" i="88"/>
  <c r="I49" i="88"/>
  <c r="J49" i="88"/>
  <c r="K49" i="88"/>
  <c r="L49" i="88"/>
  <c r="M49" i="88"/>
  <c r="C49" i="88"/>
  <c r="N49" i="88" s="1"/>
  <c r="F45" i="87"/>
  <c r="F46" i="87" s="1"/>
  <c r="F47" i="87" s="1"/>
  <c r="U45" i="87"/>
  <c r="J45" i="87"/>
  <c r="I45" i="87"/>
  <c r="H45" i="87"/>
  <c r="G45" i="87"/>
  <c r="E45" i="87"/>
  <c r="K47" i="4" l="1"/>
  <c r="K48" i="4" s="1"/>
  <c r="K49" i="4" s="1"/>
  <c r="H46" i="87"/>
  <c r="H47" i="87" s="1"/>
  <c r="J46" i="87"/>
  <c r="J47" i="87" s="1"/>
  <c r="U46" i="87"/>
  <c r="U47" i="87" s="1"/>
  <c r="E46" i="87"/>
  <c r="E47" i="87" s="1"/>
  <c r="G46" i="87"/>
  <c r="G47" i="87" s="1"/>
  <c r="I46" i="87"/>
  <c r="I47" i="87" s="1"/>
  <c r="F53" i="38"/>
  <c r="N50" i="88" l="1"/>
  <c r="N51" i="88" s="1"/>
  <c r="R45" i="24"/>
  <c r="R46" i="24" s="1"/>
  <c r="R47" i="24" s="1"/>
  <c r="Q45" i="24"/>
  <c r="Q46" i="24" s="1"/>
  <c r="Q47" i="24" s="1"/>
  <c r="S45" i="24"/>
  <c r="S46" i="24" s="1"/>
  <c r="S47" i="24" s="1"/>
  <c r="R48" i="22"/>
  <c r="R49" i="22" s="1"/>
  <c r="R50" i="22" s="1"/>
  <c r="P45" i="24"/>
  <c r="P46" i="24" s="1"/>
  <c r="P47" i="24" s="1"/>
  <c r="M48" i="9"/>
  <c r="M49" i="9" s="1"/>
  <c r="M50" i="9" s="1"/>
  <c r="F46" i="23" l="1"/>
  <c r="F47" i="23" s="1"/>
  <c r="F48" i="23" s="1"/>
  <c r="E48" i="9"/>
  <c r="E49" i="9" s="1"/>
  <c r="E50" i="9" s="1"/>
  <c r="F48" i="9"/>
  <c r="G48" i="9"/>
  <c r="H48" i="9"/>
  <c r="H49" i="9" s="1"/>
  <c r="H50" i="9" s="1"/>
  <c r="G48" i="22"/>
  <c r="G49" i="22" s="1"/>
  <c r="G50" i="22" s="1"/>
  <c r="K46" i="23"/>
  <c r="K47" i="23" s="1"/>
  <c r="T45" i="24"/>
  <c r="T46" i="24" s="1"/>
  <c r="T47" i="24" s="1"/>
  <c r="T46" i="23"/>
  <c r="K48" i="9"/>
  <c r="K49" i="9" l="1"/>
  <c r="K50" i="9" s="1"/>
  <c r="T47" i="23"/>
  <c r="T48" i="23" s="1"/>
  <c r="K48" i="23"/>
  <c r="H17" i="6" l="1"/>
  <c r="D19" i="86"/>
  <c r="D17" i="86"/>
  <c r="D16" i="86"/>
  <c r="D15" i="86"/>
  <c r="D14" i="86"/>
  <c r="D13" i="86"/>
  <c r="D12" i="86"/>
  <c r="D11" i="86"/>
  <c r="D10" i="86"/>
  <c r="D9" i="86"/>
  <c r="D8" i="86"/>
  <c r="D7" i="86"/>
  <c r="D6" i="86"/>
  <c r="D5" i="86"/>
  <c r="D4" i="86"/>
  <c r="D3" i="86"/>
  <c r="D20" i="86" s="1"/>
  <c r="E192" i="1"/>
  <c r="E194" i="1"/>
  <c r="E191" i="1"/>
  <c r="E193" i="1"/>
  <c r="E198" i="1"/>
  <c r="E197" i="1"/>
  <c r="E196" i="1"/>
  <c r="K17" i="6"/>
  <c r="D21" i="86" l="1"/>
  <c r="D22" i="86" s="1"/>
  <c r="E199" i="1"/>
  <c r="E31" i="81"/>
  <c r="E200" i="1" l="1"/>
  <c r="E201" i="1" s="1"/>
  <c r="C8" i="34"/>
  <c r="U14" i="18" l="1"/>
  <c r="U13" i="18"/>
  <c r="U12" i="18"/>
  <c r="U11" i="18"/>
  <c r="U10" i="18"/>
  <c r="U9" i="18"/>
  <c r="U8" i="18"/>
  <c r="S15" i="18"/>
  <c r="R14" i="18"/>
  <c r="R13" i="18"/>
  <c r="R12" i="18"/>
  <c r="R11" i="18"/>
  <c r="R10" i="18"/>
  <c r="R9" i="18"/>
  <c r="R8" i="18"/>
  <c r="P15" i="18"/>
  <c r="O14" i="18"/>
  <c r="O13" i="18"/>
  <c r="O12" i="18"/>
  <c r="O11" i="18"/>
  <c r="O10" i="18"/>
  <c r="O9" i="18"/>
  <c r="O8" i="18"/>
  <c r="M15" i="18"/>
  <c r="L14" i="18"/>
  <c r="L13" i="18"/>
  <c r="L12" i="18"/>
  <c r="L11" i="18"/>
  <c r="L10" i="18"/>
  <c r="L9" i="18"/>
  <c r="J15" i="18"/>
  <c r="I14" i="18"/>
  <c r="I13" i="18"/>
  <c r="I12" i="18"/>
  <c r="I11" i="18"/>
  <c r="I10" i="18"/>
  <c r="I9" i="18"/>
  <c r="I8" i="18"/>
  <c r="G15" i="18"/>
  <c r="F14" i="18"/>
  <c r="F13" i="18"/>
  <c r="F12" i="18"/>
  <c r="F11" i="18"/>
  <c r="F10" i="18"/>
  <c r="F9" i="18"/>
  <c r="F8" i="18"/>
  <c r="D15" i="18"/>
  <c r="G14" i="12"/>
  <c r="G15" i="12" s="1"/>
  <c r="M11" i="12"/>
  <c r="M8" i="12"/>
  <c r="J14" i="12"/>
  <c r="J15" i="12" s="1"/>
  <c r="R15" i="18" l="1"/>
  <c r="T15" i="18"/>
  <c r="V14" i="18"/>
  <c r="V11" i="18"/>
  <c r="V13" i="18"/>
  <c r="V9" i="18"/>
  <c r="I15" i="18"/>
  <c r="V12" i="18"/>
  <c r="V10" i="18"/>
  <c r="E15" i="18"/>
  <c r="K15" i="18"/>
  <c r="N15" i="18"/>
  <c r="M15" i="12"/>
  <c r="M16" i="12" s="1"/>
  <c r="V8" i="18"/>
  <c r="V15" i="18" l="1"/>
  <c r="E67" i="20"/>
  <c r="E66" i="20"/>
  <c r="E63" i="20"/>
  <c r="E62" i="20"/>
  <c r="E61" i="20"/>
  <c r="E60" i="20"/>
  <c r="E58" i="20"/>
  <c r="E57" i="20"/>
  <c r="E56" i="20"/>
  <c r="E55" i="20"/>
  <c r="E54" i="20"/>
  <c r="E53" i="20"/>
  <c r="E52" i="20"/>
  <c r="E51" i="20"/>
  <c r="E50"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5" i="20"/>
  <c r="E4" i="20"/>
  <c r="C15" i="73"/>
  <c r="C14" i="73"/>
  <c r="V17" i="18" l="1"/>
  <c r="V18" i="18" s="1"/>
  <c r="C16" i="73"/>
  <c r="E68" i="20"/>
  <c r="E69" i="20" s="1"/>
  <c r="E70" i="20" s="1"/>
  <c r="G26" i="80"/>
  <c r="G25" i="80"/>
  <c r="G24" i="80"/>
  <c r="G21" i="80"/>
  <c r="G20" i="80"/>
  <c r="G19" i="80"/>
  <c r="G17" i="80"/>
  <c r="G16" i="80"/>
  <c r="G15" i="80"/>
  <c r="G14" i="80"/>
  <c r="G13" i="80"/>
  <c r="G12" i="80"/>
  <c r="G11" i="80"/>
  <c r="G10" i="80"/>
  <c r="G8" i="80"/>
  <c r="G7" i="80"/>
  <c r="G6" i="80"/>
  <c r="G5" i="80"/>
  <c r="G110" i="76"/>
  <c r="G109" i="76"/>
  <c r="G108" i="76"/>
  <c r="G107" i="76"/>
  <c r="G106" i="76"/>
  <c r="G105" i="76"/>
  <c r="G104" i="76"/>
  <c r="G103" i="76"/>
  <c r="G102" i="76"/>
  <c r="G101" i="76"/>
  <c r="G100" i="76"/>
  <c r="G99" i="76"/>
  <c r="G98" i="76"/>
  <c r="G97" i="76"/>
  <c r="G96" i="76"/>
  <c r="G95" i="76"/>
  <c r="G94" i="76"/>
  <c r="G93" i="76"/>
  <c r="G92" i="76"/>
  <c r="G91" i="76"/>
  <c r="G90" i="76"/>
  <c r="G89" i="76"/>
  <c r="G88" i="76"/>
  <c r="G87" i="76"/>
  <c r="G86" i="76"/>
  <c r="G85" i="76"/>
  <c r="G84" i="76"/>
  <c r="G83" i="76"/>
  <c r="G82" i="76"/>
  <c r="G81" i="76"/>
  <c r="G80" i="76"/>
  <c r="G79" i="76"/>
  <c r="G78" i="76"/>
  <c r="G77" i="76"/>
  <c r="G76" i="76"/>
  <c r="G75" i="76"/>
  <c r="G74" i="76"/>
  <c r="G73" i="76"/>
  <c r="G72" i="76"/>
  <c r="G71" i="76"/>
  <c r="G70" i="76"/>
  <c r="G69" i="76"/>
  <c r="G68" i="76"/>
  <c r="G67" i="76"/>
  <c r="G66" i="76"/>
  <c r="G65" i="76"/>
  <c r="G64" i="76"/>
  <c r="G63" i="76"/>
  <c r="G62" i="76"/>
  <c r="G61" i="76"/>
  <c r="G60" i="76"/>
  <c r="G59" i="76"/>
  <c r="G58" i="76"/>
  <c r="G57" i="76"/>
  <c r="G56" i="76"/>
  <c r="G55" i="76"/>
  <c r="G54" i="76"/>
  <c r="G53" i="76"/>
  <c r="G52" i="76"/>
  <c r="G51" i="76"/>
  <c r="G50" i="76"/>
  <c r="G49" i="76"/>
  <c r="G48" i="76"/>
  <c r="G47" i="76"/>
  <c r="G46" i="76"/>
  <c r="G45" i="76"/>
  <c r="G44" i="76"/>
  <c r="G43" i="76"/>
  <c r="G42" i="76"/>
  <c r="G41" i="76"/>
  <c r="G40" i="76"/>
  <c r="G39" i="76"/>
  <c r="G38" i="76"/>
  <c r="G37" i="76"/>
  <c r="G36" i="76"/>
  <c r="G35" i="76"/>
  <c r="G34" i="76"/>
  <c r="G33" i="76"/>
  <c r="G32" i="76"/>
  <c r="G31" i="76"/>
  <c r="G30" i="76"/>
  <c r="G29" i="76"/>
  <c r="G28" i="76"/>
  <c r="G27" i="76"/>
  <c r="G26" i="76"/>
  <c r="G25" i="76"/>
  <c r="G24" i="76"/>
  <c r="G23" i="76"/>
  <c r="G22" i="76"/>
  <c r="G21" i="76"/>
  <c r="G20" i="76"/>
  <c r="G19" i="76"/>
  <c r="G18" i="76"/>
  <c r="G17" i="76"/>
  <c r="G16" i="76"/>
  <c r="G15" i="76"/>
  <c r="G14" i="76"/>
  <c r="G13" i="76"/>
  <c r="G12" i="76"/>
  <c r="G11" i="76"/>
  <c r="G10" i="76"/>
  <c r="G9" i="76"/>
  <c r="G8" i="76"/>
  <c r="G7" i="76"/>
  <c r="G6" i="76"/>
  <c r="G5" i="76"/>
  <c r="G4" i="76"/>
  <c r="G210" i="75"/>
  <c r="G209" i="75"/>
  <c r="G204" i="75"/>
  <c r="G203" i="75"/>
  <c r="G202" i="75"/>
  <c r="G201" i="75"/>
  <c r="G200" i="75"/>
  <c r="G199" i="75"/>
  <c r="G198" i="75"/>
  <c r="G197" i="75"/>
  <c r="G196" i="75"/>
  <c r="G195" i="75"/>
  <c r="G194" i="75"/>
  <c r="G193" i="75"/>
  <c r="G192" i="75"/>
  <c r="G191" i="75"/>
  <c r="G190" i="75"/>
  <c r="G189" i="75"/>
  <c r="G188" i="75"/>
  <c r="G187" i="75"/>
  <c r="G186" i="75"/>
  <c r="G182" i="75"/>
  <c r="G181" i="75"/>
  <c r="G180" i="75"/>
  <c r="G179" i="75"/>
  <c r="G178" i="75"/>
  <c r="G177" i="75"/>
  <c r="G176" i="75"/>
  <c r="G175" i="75"/>
  <c r="G174" i="75"/>
  <c r="G173" i="75"/>
  <c r="G172" i="75"/>
  <c r="G171" i="75"/>
  <c r="G170" i="75"/>
  <c r="G169" i="75"/>
  <c r="G168" i="75"/>
  <c r="G167" i="75"/>
  <c r="G166" i="75"/>
  <c r="G165" i="75"/>
  <c r="G164" i="75"/>
  <c r="G163" i="75"/>
  <c r="G162" i="75"/>
  <c r="G161" i="75"/>
  <c r="G160" i="75"/>
  <c r="G159" i="75"/>
  <c r="G158" i="75"/>
  <c r="G157" i="75"/>
  <c r="G147" i="75"/>
  <c r="G146" i="75"/>
  <c r="G145" i="75"/>
  <c r="G144" i="75"/>
  <c r="G143" i="75"/>
  <c r="G141" i="75"/>
  <c r="G137" i="75"/>
  <c r="G136" i="75"/>
  <c r="G135" i="75"/>
  <c r="G134" i="75"/>
  <c r="G133" i="75"/>
  <c r="G123" i="75"/>
  <c r="G122" i="75"/>
  <c r="G120" i="75"/>
  <c r="G119" i="75"/>
  <c r="G118" i="75"/>
  <c r="G113" i="75"/>
  <c r="G112" i="75"/>
  <c r="G111" i="75"/>
  <c r="G110" i="75"/>
  <c r="G109" i="75"/>
  <c r="G108" i="75"/>
  <c r="G107" i="75"/>
  <c r="G106" i="75"/>
  <c r="G105" i="75"/>
  <c r="G104" i="75"/>
  <c r="G103" i="75"/>
  <c r="G102" i="75"/>
  <c r="G101" i="75"/>
  <c r="G100" i="75"/>
  <c r="G99" i="75"/>
  <c r="G98" i="75"/>
  <c r="G96" i="75"/>
  <c r="G95" i="75"/>
  <c r="G94" i="75"/>
  <c r="G93" i="75"/>
  <c r="G90" i="75"/>
  <c r="G89" i="75"/>
  <c r="G88" i="75"/>
  <c r="G87" i="75"/>
  <c r="G86" i="75"/>
  <c r="G85" i="75"/>
  <c r="G84" i="75"/>
  <c r="G83" i="75"/>
  <c r="G82" i="75"/>
  <c r="G81" i="75"/>
  <c r="G79" i="75"/>
  <c r="G78" i="75"/>
  <c r="G77" i="75"/>
  <c r="G76" i="75"/>
  <c r="G75" i="75"/>
  <c r="G74" i="75"/>
  <c r="G73" i="75"/>
  <c r="G72" i="75"/>
  <c r="G71" i="75"/>
  <c r="G70" i="75"/>
  <c r="G69" i="75"/>
  <c r="G68" i="75"/>
  <c r="G67" i="75"/>
  <c r="G66" i="75"/>
  <c r="G61" i="75"/>
  <c r="G60" i="75"/>
  <c r="G58" i="75"/>
  <c r="G57" i="75"/>
  <c r="G54" i="75"/>
  <c r="G53" i="75"/>
  <c r="G51" i="75"/>
  <c r="G50" i="75"/>
  <c r="G49" i="75"/>
  <c r="G48" i="75"/>
  <c r="G47" i="75"/>
  <c r="G46" i="75"/>
  <c r="G45" i="75"/>
  <c r="G44" i="75"/>
  <c r="G43" i="75"/>
  <c r="G42" i="75"/>
  <c r="G41" i="75"/>
  <c r="G40" i="75"/>
  <c r="G39" i="75"/>
  <c r="G38" i="75"/>
  <c r="G37" i="75"/>
  <c r="G36" i="75"/>
  <c r="G35" i="75"/>
  <c r="G34" i="75"/>
  <c r="G33" i="75"/>
  <c r="G32" i="75"/>
  <c r="G31" i="75"/>
  <c r="G30" i="75"/>
  <c r="G27" i="75"/>
  <c r="G26" i="75"/>
  <c r="G25" i="75"/>
  <c r="G19" i="75"/>
  <c r="G18" i="75"/>
  <c r="G17" i="75"/>
  <c r="G16" i="75"/>
  <c r="G15" i="75"/>
  <c r="G14" i="75"/>
  <c r="G13" i="75"/>
  <c r="G12" i="75"/>
  <c r="G11" i="75"/>
  <c r="G10" i="75"/>
  <c r="G9" i="75"/>
  <c r="G8" i="75"/>
  <c r="G7" i="75"/>
  <c r="G6" i="75"/>
  <c r="G5" i="75"/>
  <c r="G4" i="75"/>
  <c r="G3" i="75"/>
  <c r="F192" i="74"/>
  <c r="F191" i="74"/>
  <c r="F190" i="74"/>
  <c r="F189" i="74"/>
  <c r="F188" i="74"/>
  <c r="F187" i="74"/>
  <c r="F186" i="74"/>
  <c r="F185" i="74"/>
  <c r="F184" i="74"/>
  <c r="F183" i="74"/>
  <c r="F182" i="74"/>
  <c r="F181" i="74"/>
  <c r="F180" i="74"/>
  <c r="F179" i="74"/>
  <c r="F178" i="74"/>
  <c r="F177" i="74"/>
  <c r="F176" i="74"/>
  <c r="F175" i="74"/>
  <c r="F174" i="74"/>
  <c r="F173" i="74"/>
  <c r="F172" i="74"/>
  <c r="F171" i="74"/>
  <c r="F170" i="74"/>
  <c r="F169" i="74"/>
  <c r="F168" i="74"/>
  <c r="F167" i="74"/>
  <c r="F166" i="74"/>
  <c r="F165" i="74"/>
  <c r="F164" i="74"/>
  <c r="F163" i="74"/>
  <c r="F162" i="74"/>
  <c r="F161" i="74"/>
  <c r="F160" i="74"/>
  <c r="F159" i="74"/>
  <c r="F158" i="74"/>
  <c r="F157" i="74"/>
  <c r="F156" i="74"/>
  <c r="F155" i="74"/>
  <c r="F154" i="74"/>
  <c r="F153" i="74"/>
  <c r="F152" i="74"/>
  <c r="F151" i="74"/>
  <c r="F150" i="74"/>
  <c r="F149" i="74"/>
  <c r="F148" i="74"/>
  <c r="F147" i="74"/>
  <c r="F146" i="74"/>
  <c r="F145" i="74"/>
  <c r="F144" i="74"/>
  <c r="F143" i="74"/>
  <c r="F142" i="74"/>
  <c r="F141" i="74"/>
  <c r="F140" i="74"/>
  <c r="F139" i="74"/>
  <c r="F138" i="74"/>
  <c r="F137" i="74"/>
  <c r="F136" i="74"/>
  <c r="F135" i="74"/>
  <c r="F134" i="74"/>
  <c r="F133" i="74"/>
  <c r="F132" i="74"/>
  <c r="F131" i="74"/>
  <c r="F130" i="74"/>
  <c r="F129" i="74"/>
  <c r="F128" i="74"/>
  <c r="F127" i="74"/>
  <c r="F126" i="74"/>
  <c r="F125" i="74"/>
  <c r="F124" i="74"/>
  <c r="F123" i="74"/>
  <c r="F122" i="74"/>
  <c r="F121" i="74"/>
  <c r="F120" i="74"/>
  <c r="F119" i="74"/>
  <c r="F118" i="74"/>
  <c r="F117" i="74"/>
  <c r="F116" i="74"/>
  <c r="F115" i="74"/>
  <c r="F114" i="74"/>
  <c r="F113" i="74"/>
  <c r="F112" i="74"/>
  <c r="F111" i="74"/>
  <c r="F110" i="74"/>
  <c r="F109" i="74"/>
  <c r="F108" i="74"/>
  <c r="F107" i="74"/>
  <c r="F106" i="74"/>
  <c r="F105" i="74"/>
  <c r="F104" i="74"/>
  <c r="F103" i="74"/>
  <c r="F102" i="74"/>
  <c r="F101" i="74"/>
  <c r="F100" i="74"/>
  <c r="F99" i="74"/>
  <c r="F98" i="74"/>
  <c r="F97" i="74"/>
  <c r="F96" i="74"/>
  <c r="F95" i="74"/>
  <c r="F94" i="74"/>
  <c r="F93" i="74"/>
  <c r="F92" i="74"/>
  <c r="F91" i="74"/>
  <c r="F90" i="74"/>
  <c r="F89" i="74"/>
  <c r="F88" i="74"/>
  <c r="F87" i="74"/>
  <c r="F86" i="74"/>
  <c r="F85" i="74"/>
  <c r="F84" i="74"/>
  <c r="F83" i="74"/>
  <c r="F82" i="74"/>
  <c r="F81" i="74"/>
  <c r="F80" i="74"/>
  <c r="F79" i="74"/>
  <c r="F78" i="74"/>
  <c r="F77" i="74"/>
  <c r="F76" i="74"/>
  <c r="F75" i="74"/>
  <c r="F74" i="74"/>
  <c r="F73" i="74"/>
  <c r="F72" i="74"/>
  <c r="F71" i="74"/>
  <c r="F70" i="74"/>
  <c r="F69" i="74"/>
  <c r="F68" i="74"/>
  <c r="F67" i="74"/>
  <c r="F66" i="74"/>
  <c r="F65" i="74"/>
  <c r="F64" i="74"/>
  <c r="F63" i="74"/>
  <c r="F62" i="74"/>
  <c r="F61" i="74"/>
  <c r="F60" i="74"/>
  <c r="F59" i="74"/>
  <c r="F58" i="74"/>
  <c r="F57" i="74"/>
  <c r="F56" i="74"/>
  <c r="F55" i="74"/>
  <c r="F54" i="74"/>
  <c r="F53" i="74"/>
  <c r="F52" i="74"/>
  <c r="F51" i="74"/>
  <c r="F50" i="74"/>
  <c r="F49" i="74"/>
  <c r="F48" i="74"/>
  <c r="F47" i="74"/>
  <c r="F46" i="74"/>
  <c r="F45" i="74"/>
  <c r="F44" i="74"/>
  <c r="F43" i="74"/>
  <c r="F42" i="74"/>
  <c r="F41" i="74"/>
  <c r="F40" i="74"/>
  <c r="F39" i="74"/>
  <c r="F38" i="74"/>
  <c r="F37" i="74"/>
  <c r="F36" i="74"/>
  <c r="F35" i="74"/>
  <c r="F34" i="74"/>
  <c r="F33" i="74"/>
  <c r="F32" i="74"/>
  <c r="F31" i="74"/>
  <c r="F30" i="74"/>
  <c r="F29" i="74"/>
  <c r="F28" i="74"/>
  <c r="F27" i="74"/>
  <c r="F26" i="74"/>
  <c r="F25" i="74"/>
  <c r="F24" i="74"/>
  <c r="F23" i="74"/>
  <c r="F22" i="74"/>
  <c r="F21" i="74"/>
  <c r="F20" i="74"/>
  <c r="F19" i="74"/>
  <c r="F18" i="74"/>
  <c r="F17" i="74"/>
  <c r="F16" i="74"/>
  <c r="F15" i="74"/>
  <c r="F14" i="74"/>
  <c r="F13" i="74"/>
  <c r="F12" i="74"/>
  <c r="F11" i="74"/>
  <c r="F10" i="74"/>
  <c r="F9" i="74"/>
  <c r="F8" i="74"/>
  <c r="F7" i="74"/>
  <c r="F6" i="74"/>
  <c r="F5" i="74"/>
  <c r="F4" i="74"/>
  <c r="F3" i="74"/>
  <c r="I8" i="52"/>
  <c r="D9" i="52"/>
  <c r="H9" i="52"/>
  <c r="F9" i="52"/>
  <c r="G215" i="75" l="1"/>
  <c r="G216" i="75" s="1"/>
  <c r="G217" i="75" s="1"/>
  <c r="G218" i="75" s="1"/>
  <c r="G30" i="80"/>
  <c r="G31" i="80" s="1"/>
  <c r="G32" i="80" s="1"/>
  <c r="G33" i="80" s="1"/>
  <c r="F193" i="74"/>
  <c r="F194" i="74" s="1"/>
  <c r="F195" i="74" s="1"/>
  <c r="F196" i="74" s="1"/>
  <c r="G111" i="76"/>
  <c r="G112" i="76" s="1"/>
  <c r="G113" i="76" s="1"/>
  <c r="G115" i="76" s="1"/>
  <c r="D81" i="36"/>
  <c r="G17" i="51"/>
  <c r="I10" i="52"/>
  <c r="I11" i="52" s="1"/>
  <c r="F15" i="51"/>
  <c r="E15" i="51"/>
  <c r="D15" i="51"/>
  <c r="G14" i="51"/>
  <c r="G13" i="51"/>
  <c r="G12" i="51"/>
  <c r="G11" i="51"/>
  <c r="G10" i="51"/>
  <c r="G9" i="51"/>
  <c r="E16" i="50"/>
  <c r="D16" i="50"/>
  <c r="F15" i="50"/>
  <c r="F13" i="50"/>
  <c r="F12" i="50"/>
  <c r="K18" i="49"/>
  <c r="J18" i="49"/>
  <c r="I18" i="49"/>
  <c r="H18" i="49"/>
  <c r="G18" i="49"/>
  <c r="F18" i="49"/>
  <c r="E18" i="49"/>
  <c r="D18" i="49"/>
  <c r="L17" i="49"/>
  <c r="L16" i="49"/>
  <c r="L15" i="49"/>
  <c r="L14" i="49"/>
  <c r="L13" i="49"/>
  <c r="L12" i="49"/>
  <c r="O24" i="48"/>
  <c r="N24" i="48"/>
  <c r="M24" i="48"/>
  <c r="L24" i="48"/>
  <c r="K24" i="48"/>
  <c r="J24" i="48"/>
  <c r="I24" i="48"/>
  <c r="H24" i="48"/>
  <c r="G24" i="48"/>
  <c r="F24" i="48"/>
  <c r="E24" i="48"/>
  <c r="D24" i="48"/>
  <c r="P23" i="48"/>
  <c r="P22" i="48"/>
  <c r="P21" i="48"/>
  <c r="P20" i="48"/>
  <c r="P19" i="48"/>
  <c r="P18" i="48"/>
  <c r="P17" i="48"/>
  <c r="P16" i="48"/>
  <c r="P15" i="48"/>
  <c r="P14" i="48"/>
  <c r="U43" i="47"/>
  <c r="T43" i="47"/>
  <c r="S43" i="47"/>
  <c r="R43" i="47"/>
  <c r="Q43" i="47"/>
  <c r="P43" i="47"/>
  <c r="O43" i="47"/>
  <c r="N43" i="47"/>
  <c r="M43" i="47"/>
  <c r="L43" i="47"/>
  <c r="K43" i="47"/>
  <c r="J43" i="47"/>
  <c r="I43" i="47"/>
  <c r="H43" i="47"/>
  <c r="F43" i="47"/>
  <c r="V41" i="47"/>
  <c r="V40" i="47"/>
  <c r="V39" i="47"/>
  <c r="V38" i="47"/>
  <c r="V37" i="47"/>
  <c r="V36" i="47"/>
  <c r="V35" i="47"/>
  <c r="V34" i="47"/>
  <c r="V33" i="47"/>
  <c r="V32" i="47"/>
  <c r="V31" i="47"/>
  <c r="V30" i="47"/>
  <c r="V29" i="47"/>
  <c r="V28" i="47"/>
  <c r="V27" i="47"/>
  <c r="V26" i="47"/>
  <c r="V25" i="47"/>
  <c r="V24" i="47"/>
  <c r="V23" i="47"/>
  <c r="V22" i="47"/>
  <c r="V21" i="47"/>
  <c r="V20" i="47"/>
  <c r="V19" i="47"/>
  <c r="V18" i="47"/>
  <c r="V17" i="47"/>
  <c r="V16" i="47"/>
  <c r="V15" i="47"/>
  <c r="V14" i="47"/>
  <c r="V13" i="47"/>
  <c r="V12" i="47"/>
  <c r="V11" i="47"/>
  <c r="V10" i="47"/>
  <c r="V9" i="47"/>
  <c r="V8" i="47"/>
  <c r="V7" i="47"/>
  <c r="V6" i="47"/>
  <c r="O30" i="46"/>
  <c r="N30" i="46"/>
  <c r="M30" i="46"/>
  <c r="L30" i="46"/>
  <c r="K30" i="46"/>
  <c r="J30" i="46"/>
  <c r="I30" i="46"/>
  <c r="H30" i="46"/>
  <c r="G30" i="46"/>
  <c r="F30" i="46"/>
  <c r="E30" i="46"/>
  <c r="D30" i="46"/>
  <c r="P29" i="46"/>
  <c r="P28" i="46"/>
  <c r="P27" i="46"/>
  <c r="P26" i="46"/>
  <c r="P25" i="46"/>
  <c r="P24" i="46"/>
  <c r="P23" i="46"/>
  <c r="P22" i="46"/>
  <c r="P21" i="46"/>
  <c r="P20" i="46"/>
  <c r="P19" i="46"/>
  <c r="P18" i="46"/>
  <c r="P17" i="46"/>
  <c r="P16" i="46"/>
  <c r="P15" i="46"/>
  <c r="P14" i="46"/>
  <c r="P13" i="46"/>
  <c r="P12" i="46"/>
  <c r="P11" i="46"/>
  <c r="P10" i="46"/>
  <c r="P9" i="46"/>
  <c r="P8" i="46"/>
  <c r="P7" i="46"/>
  <c r="P6" i="46"/>
  <c r="O44" i="45"/>
  <c r="N44" i="45"/>
  <c r="M44" i="45"/>
  <c r="L44" i="45"/>
  <c r="K44" i="45"/>
  <c r="J44" i="45"/>
  <c r="I44" i="45"/>
  <c r="H44" i="45"/>
  <c r="G44" i="45"/>
  <c r="F44" i="45"/>
  <c r="E44" i="45"/>
  <c r="D44" i="45"/>
  <c r="P43" i="45"/>
  <c r="P42" i="45"/>
  <c r="P41" i="45"/>
  <c r="P40" i="45"/>
  <c r="P39" i="45"/>
  <c r="P38" i="45"/>
  <c r="P37" i="45"/>
  <c r="P36" i="45"/>
  <c r="P35" i="45"/>
  <c r="P34" i="45"/>
  <c r="P33" i="45"/>
  <c r="P32" i="45"/>
  <c r="P31" i="45"/>
  <c r="P30" i="45"/>
  <c r="P29" i="45"/>
  <c r="P28" i="45"/>
  <c r="P27" i="45"/>
  <c r="P26" i="45"/>
  <c r="P25" i="45"/>
  <c r="P24" i="45"/>
  <c r="P23" i="45"/>
  <c r="P22" i="45"/>
  <c r="P21" i="45"/>
  <c r="P20" i="45"/>
  <c r="P19" i="45"/>
  <c r="P18" i="45"/>
  <c r="P17" i="45"/>
  <c r="P16" i="45"/>
  <c r="P15" i="45"/>
  <c r="P14" i="45"/>
  <c r="P13" i="45"/>
  <c r="P12" i="45"/>
  <c r="P11" i="45"/>
  <c r="P10" i="45"/>
  <c r="P9" i="45"/>
  <c r="P8" i="45"/>
  <c r="P7" i="45"/>
  <c r="P6" i="45"/>
  <c r="M49" i="44"/>
  <c r="L49" i="44"/>
  <c r="K49" i="44"/>
  <c r="J49" i="44"/>
  <c r="I49" i="44"/>
  <c r="H49" i="44"/>
  <c r="G49" i="44"/>
  <c r="F49" i="44"/>
  <c r="E49" i="44"/>
  <c r="D49" i="44"/>
  <c r="N48" i="44"/>
  <c r="N47" i="44"/>
  <c r="N46" i="44"/>
  <c r="N45" i="44"/>
  <c r="N44" i="44"/>
  <c r="N43" i="44"/>
  <c r="N42" i="44"/>
  <c r="N41" i="44"/>
  <c r="N40" i="44"/>
  <c r="N39" i="44"/>
  <c r="N38" i="44"/>
  <c r="N37" i="44"/>
  <c r="N36" i="44"/>
  <c r="N35" i="44"/>
  <c r="N34" i="44"/>
  <c r="N33" i="44"/>
  <c r="N32" i="44"/>
  <c r="N27" i="44"/>
  <c r="N26" i="44"/>
  <c r="N25" i="44"/>
  <c r="N24" i="44"/>
  <c r="N23" i="44"/>
  <c r="N22" i="44"/>
  <c r="N21" i="44"/>
  <c r="N20" i="44"/>
  <c r="N19" i="44"/>
  <c r="N18" i="44"/>
  <c r="N17" i="44"/>
  <c r="N16" i="44"/>
  <c r="N15" i="44"/>
  <c r="N14" i="44"/>
  <c r="N13" i="44"/>
  <c r="N12" i="44"/>
  <c r="N11" i="44"/>
  <c r="N10" i="44"/>
  <c r="N9" i="44"/>
  <c r="N8" i="44"/>
  <c r="N7" i="44"/>
  <c r="N6" i="44"/>
  <c r="N5" i="44"/>
  <c r="P49" i="43"/>
  <c r="O49" i="43"/>
  <c r="N49" i="43"/>
  <c r="M49" i="43"/>
  <c r="L49" i="43"/>
  <c r="K49" i="43"/>
  <c r="J49" i="43"/>
  <c r="I49" i="43"/>
  <c r="H49" i="43"/>
  <c r="G49" i="43"/>
  <c r="F49" i="43"/>
  <c r="E49" i="43"/>
  <c r="D49" i="43"/>
  <c r="Q48" i="43"/>
  <c r="Q47" i="43"/>
  <c r="Q46" i="43"/>
  <c r="Q45" i="43"/>
  <c r="Q44" i="43"/>
  <c r="Q43" i="43"/>
  <c r="Q42" i="43"/>
  <c r="Q41" i="43"/>
  <c r="Q40" i="43"/>
  <c r="Q39" i="43"/>
  <c r="Q38" i="43"/>
  <c r="Q37" i="43"/>
  <c r="Q36" i="43"/>
  <c r="Q35" i="43"/>
  <c r="Q34" i="43"/>
  <c r="Q33" i="43"/>
  <c r="Q32" i="43"/>
  <c r="Q31" i="43"/>
  <c r="Q30" i="43"/>
  <c r="Q29" i="43"/>
  <c r="Q28" i="43"/>
  <c r="Q23" i="43"/>
  <c r="Q22" i="43"/>
  <c r="Q21" i="43"/>
  <c r="Q20" i="43"/>
  <c r="Q19" i="43"/>
  <c r="Q18" i="43"/>
  <c r="Q17" i="43"/>
  <c r="Q16" i="43"/>
  <c r="Q15" i="43"/>
  <c r="Q14" i="43"/>
  <c r="Q13" i="43"/>
  <c r="Q12" i="43"/>
  <c r="Q11" i="43"/>
  <c r="Q10" i="43"/>
  <c r="Q9" i="43"/>
  <c r="Q8" i="43"/>
  <c r="Q7" i="43"/>
  <c r="Q6" i="43"/>
  <c r="Q5" i="43"/>
  <c r="F16" i="50" l="1"/>
  <c r="V43" i="47"/>
  <c r="F17" i="50"/>
  <c r="F18" i="50" s="1"/>
  <c r="G15" i="51"/>
  <c r="Q49" i="43"/>
  <c r="Q50" i="43" s="1"/>
  <c r="Q51" i="43" s="1"/>
  <c r="N49" i="44"/>
  <c r="N50" i="44" s="1"/>
  <c r="N51" i="44" s="1"/>
  <c r="N52" i="44" s="1"/>
  <c r="L19" i="49"/>
  <c r="L20" i="49" s="1"/>
  <c r="P44" i="45"/>
  <c r="P45" i="45" s="1"/>
  <c r="P46" i="45" s="1"/>
  <c r="P47" i="45" s="1"/>
  <c r="P48" i="45" s="1"/>
  <c r="L18" i="49"/>
  <c r="V44" i="47"/>
  <c r="V45" i="47" s="1"/>
  <c r="P24" i="48"/>
  <c r="P25" i="48"/>
  <c r="P26" i="48" s="1"/>
  <c r="P30" i="46"/>
  <c r="P31" i="46"/>
  <c r="P32" i="46" s="1"/>
  <c r="M48" i="41" l="1"/>
  <c r="L48" i="41"/>
  <c r="K48" i="41"/>
  <c r="J48" i="41"/>
  <c r="I48" i="41"/>
  <c r="H48" i="41"/>
  <c r="G48" i="41"/>
  <c r="F48" i="41"/>
  <c r="E48" i="41"/>
  <c r="D48" i="41"/>
  <c r="N47" i="41"/>
  <c r="N46" i="41"/>
  <c r="N45" i="41"/>
  <c r="N44" i="41"/>
  <c r="N43" i="41"/>
  <c r="N42" i="41"/>
  <c r="N41" i="41"/>
  <c r="N40" i="41"/>
  <c r="N39" i="41"/>
  <c r="N38" i="41"/>
  <c r="N37" i="41"/>
  <c r="N36" i="41"/>
  <c r="N35" i="41"/>
  <c r="N34" i="41"/>
  <c r="N33" i="41"/>
  <c r="N32" i="41"/>
  <c r="N31" i="41"/>
  <c r="N30" i="41"/>
  <c r="N29" i="41"/>
  <c r="N28" i="41"/>
  <c r="N27" i="41"/>
  <c r="N22" i="41"/>
  <c r="N21" i="41"/>
  <c r="N20" i="41"/>
  <c r="N19" i="41"/>
  <c r="N18" i="41"/>
  <c r="N17" i="41"/>
  <c r="N16" i="41"/>
  <c r="N15" i="41"/>
  <c r="N14" i="41"/>
  <c r="N13" i="41"/>
  <c r="N12" i="41"/>
  <c r="N11" i="41"/>
  <c r="N10" i="41"/>
  <c r="N9" i="41"/>
  <c r="N8" i="41"/>
  <c r="N7" i="41"/>
  <c r="N6" i="41"/>
  <c r="N5" i="41"/>
  <c r="L51" i="39"/>
  <c r="K51" i="39"/>
  <c r="J51" i="39"/>
  <c r="I51" i="39"/>
  <c r="H51" i="39"/>
  <c r="G51" i="39"/>
  <c r="F51" i="39"/>
  <c r="E51" i="39"/>
  <c r="M50" i="39"/>
  <c r="M49" i="39"/>
  <c r="M48" i="39"/>
  <c r="M47" i="39"/>
  <c r="M45" i="39"/>
  <c r="M44" i="39"/>
  <c r="M43" i="39"/>
  <c r="M42" i="39"/>
  <c r="M41" i="39"/>
  <c r="M40" i="39"/>
  <c r="M39" i="39"/>
  <c r="M38" i="39"/>
  <c r="M37" i="39"/>
  <c r="M36" i="39"/>
  <c r="M35" i="39"/>
  <c r="M34" i="39"/>
  <c r="M33" i="39"/>
  <c r="M32" i="39"/>
  <c r="M31" i="39"/>
  <c r="M30" i="39"/>
  <c r="M29" i="39"/>
  <c r="M22" i="39"/>
  <c r="M21" i="39"/>
  <c r="M20" i="39"/>
  <c r="M19" i="39"/>
  <c r="M18" i="39"/>
  <c r="M17" i="39"/>
  <c r="M16" i="39"/>
  <c r="M15" i="39"/>
  <c r="M14" i="39"/>
  <c r="M13" i="39"/>
  <c r="M12" i="39"/>
  <c r="M11" i="39"/>
  <c r="M10" i="39"/>
  <c r="M9" i="39"/>
  <c r="M8" i="39"/>
  <c r="M7" i="39"/>
  <c r="M6" i="39"/>
  <c r="M5" i="39"/>
  <c r="L53" i="38"/>
  <c r="K53" i="38"/>
  <c r="J53" i="38"/>
  <c r="I53" i="38"/>
  <c r="H53" i="38"/>
  <c r="G53" i="38"/>
  <c r="E53" i="38"/>
  <c r="M52" i="38"/>
  <c r="M51" i="38"/>
  <c r="M50" i="38"/>
  <c r="M49" i="38"/>
  <c r="M48" i="38"/>
  <c r="M47" i="38"/>
  <c r="M46" i="38"/>
  <c r="M45" i="38"/>
  <c r="M44" i="38"/>
  <c r="M43" i="38"/>
  <c r="M42" i="38"/>
  <c r="M41" i="38"/>
  <c r="M40" i="38"/>
  <c r="M39" i="38"/>
  <c r="M38" i="38"/>
  <c r="M37" i="38"/>
  <c r="M36" i="38"/>
  <c r="M35" i="38"/>
  <c r="M34" i="38"/>
  <c r="M33" i="38"/>
  <c r="M32" i="38"/>
  <c r="M24" i="38"/>
  <c r="M23" i="38"/>
  <c r="M22" i="38"/>
  <c r="M21" i="38"/>
  <c r="M20" i="38"/>
  <c r="M19" i="38"/>
  <c r="M18" i="38"/>
  <c r="M17" i="38"/>
  <c r="M16" i="38"/>
  <c r="M15" i="38"/>
  <c r="M14" i="38"/>
  <c r="M13" i="38"/>
  <c r="M12" i="38"/>
  <c r="M11" i="38"/>
  <c r="M10" i="38"/>
  <c r="M9" i="38"/>
  <c r="M8" i="38"/>
  <c r="M7" i="38"/>
  <c r="M6" i="38"/>
  <c r="D47" i="32"/>
  <c r="C47" i="32"/>
  <c r="D47" i="30"/>
  <c r="C47" i="30"/>
  <c r="E46" i="30"/>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7" i="30"/>
  <c r="I47" i="28"/>
  <c r="F47" i="28"/>
  <c r="C47" i="28"/>
  <c r="K46" i="28"/>
  <c r="K45" i="28"/>
  <c r="K44" i="28"/>
  <c r="K43" i="28"/>
  <c r="K42" i="28"/>
  <c r="K41" i="28"/>
  <c r="K40" i="28"/>
  <c r="K39" i="28"/>
  <c r="K38" i="28"/>
  <c r="K37" i="28"/>
  <c r="K36" i="28"/>
  <c r="K35" i="28"/>
  <c r="K34" i="28"/>
  <c r="K33" i="28"/>
  <c r="K32" i="28"/>
  <c r="K31" i="28"/>
  <c r="K30" i="28"/>
  <c r="K29" i="28"/>
  <c r="K28" i="28"/>
  <c r="K27" i="28"/>
  <c r="K26" i="28"/>
  <c r="K25" i="28"/>
  <c r="K24" i="28"/>
  <c r="K23" i="28"/>
  <c r="K22" i="28"/>
  <c r="K21" i="28"/>
  <c r="K20" i="28"/>
  <c r="K19" i="28"/>
  <c r="K18" i="28"/>
  <c r="K17" i="28"/>
  <c r="K16" i="28"/>
  <c r="K15" i="28"/>
  <c r="K14" i="28"/>
  <c r="K13" i="28"/>
  <c r="K12" i="28"/>
  <c r="K11" i="28"/>
  <c r="K10" i="28"/>
  <c r="K9" i="28"/>
  <c r="K7" i="28"/>
  <c r="K8" i="28"/>
  <c r="H46" i="28"/>
  <c r="H45" i="28"/>
  <c r="H44" i="28"/>
  <c r="H43" i="28"/>
  <c r="H42" i="28"/>
  <c r="H41" i="28"/>
  <c r="H40" i="28"/>
  <c r="H39" i="28"/>
  <c r="H38" i="28"/>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E46" i="28"/>
  <c r="E45" i="28"/>
  <c r="E44" i="28"/>
  <c r="E43" i="28"/>
  <c r="E42" i="28"/>
  <c r="E41" i="28"/>
  <c r="E40" i="28"/>
  <c r="E39" i="28"/>
  <c r="E38" i="28"/>
  <c r="E37" i="28"/>
  <c r="E36" i="28"/>
  <c r="E35" i="28"/>
  <c r="E34" i="28"/>
  <c r="E33" i="28"/>
  <c r="E32" i="28"/>
  <c r="E31" i="28"/>
  <c r="E30" i="28"/>
  <c r="E29" i="28"/>
  <c r="E28" i="28"/>
  <c r="E27" i="28"/>
  <c r="E26" i="28"/>
  <c r="E24" i="28"/>
  <c r="E23" i="28"/>
  <c r="E22" i="28"/>
  <c r="E21" i="28"/>
  <c r="E20" i="28"/>
  <c r="E19" i="28"/>
  <c r="E18" i="28"/>
  <c r="E17" i="28"/>
  <c r="E16" i="28"/>
  <c r="E15" i="28"/>
  <c r="E14" i="28"/>
  <c r="E13" i="28"/>
  <c r="E12" i="28"/>
  <c r="E11" i="28"/>
  <c r="E10" i="28"/>
  <c r="E9" i="28"/>
  <c r="E8" i="28"/>
  <c r="E7" i="28"/>
  <c r="E25" i="28"/>
  <c r="U45" i="24"/>
  <c r="U46" i="24" s="1"/>
  <c r="O45" i="24"/>
  <c r="N45" i="24"/>
  <c r="N46" i="24" s="1"/>
  <c r="M45" i="24"/>
  <c r="K45" i="24"/>
  <c r="J45" i="24"/>
  <c r="J46" i="24" s="1"/>
  <c r="I45" i="24"/>
  <c r="H45" i="24"/>
  <c r="H46" i="24" s="1"/>
  <c r="G45" i="24"/>
  <c r="F45" i="24"/>
  <c r="E45" i="24"/>
  <c r="E46" i="24" s="1"/>
  <c r="S46" i="23"/>
  <c r="S47" i="23" s="1"/>
  <c r="R46" i="23"/>
  <c r="Q46" i="23"/>
  <c r="Q47" i="23" s="1"/>
  <c r="P46" i="23"/>
  <c r="O46" i="23"/>
  <c r="O47" i="23" s="1"/>
  <c r="N46" i="23"/>
  <c r="M46" i="23"/>
  <c r="M47" i="23" s="1"/>
  <c r="L46" i="23"/>
  <c r="J46" i="23"/>
  <c r="J47" i="23" s="1"/>
  <c r="I46" i="23"/>
  <c r="H46" i="23"/>
  <c r="H47" i="23" s="1"/>
  <c r="E46" i="23"/>
  <c r="U46" i="23" s="1"/>
  <c r="T48" i="22"/>
  <c r="S48" i="22"/>
  <c r="Q48" i="22"/>
  <c r="P48" i="22"/>
  <c r="O48" i="22"/>
  <c r="N48" i="22"/>
  <c r="M48" i="22"/>
  <c r="L48" i="22"/>
  <c r="K48" i="22"/>
  <c r="J48" i="22"/>
  <c r="I48" i="22"/>
  <c r="H48" i="22"/>
  <c r="F48" i="22"/>
  <c r="M53" i="38" l="1"/>
  <c r="M54" i="38" s="1"/>
  <c r="M55" i="38" s="1"/>
  <c r="M56" i="38" s="1"/>
  <c r="M57" i="38" s="1"/>
  <c r="M51" i="39"/>
  <c r="M52" i="39" s="1"/>
  <c r="M53" i="39" s="1"/>
  <c r="M54" i="39" s="1"/>
  <c r="N48" i="41"/>
  <c r="N49" i="41" s="1"/>
  <c r="N50" i="41" s="1"/>
  <c r="N51" i="41" s="1"/>
  <c r="K47" i="28"/>
  <c r="K48" i="28" s="1"/>
  <c r="K49" i="28" s="1"/>
  <c r="H47" i="28"/>
  <c r="H48" i="28" s="1"/>
  <c r="H49" i="28" s="1"/>
  <c r="E47" i="28"/>
  <c r="E48" i="28" s="1"/>
  <c r="E49" i="28" s="1"/>
  <c r="E47" i="30"/>
  <c r="E48" i="30" s="1"/>
  <c r="F46" i="24"/>
  <c r="F47" i="24" s="1"/>
  <c r="G46" i="24"/>
  <c r="G47" i="24" s="1"/>
  <c r="I46" i="24"/>
  <c r="I47" i="24" s="1"/>
  <c r="K46" i="24"/>
  <c r="K47" i="24" s="1"/>
  <c r="M46" i="24"/>
  <c r="M47" i="24" s="1"/>
  <c r="O46" i="24"/>
  <c r="O47" i="24" s="1"/>
  <c r="E47" i="24"/>
  <c r="H47" i="24"/>
  <c r="J47" i="24"/>
  <c r="N47" i="24"/>
  <c r="U47" i="24"/>
  <c r="E47" i="23"/>
  <c r="I47" i="23"/>
  <c r="I48" i="23" s="1"/>
  <c r="L47" i="23"/>
  <c r="L48" i="23" s="1"/>
  <c r="N47" i="23"/>
  <c r="N48" i="23" s="1"/>
  <c r="P47" i="23"/>
  <c r="P48" i="23" s="1"/>
  <c r="R47" i="23"/>
  <c r="R48" i="23" s="1"/>
  <c r="H48" i="23"/>
  <c r="J48" i="23"/>
  <c r="M48" i="23"/>
  <c r="O48" i="23"/>
  <c r="Q48" i="23"/>
  <c r="S48" i="23"/>
  <c r="I49" i="22"/>
  <c r="I50" i="22" s="1"/>
  <c r="K49" i="22"/>
  <c r="K50" i="22" s="1"/>
  <c r="N49" i="22"/>
  <c r="N50" i="22" s="1"/>
  <c r="P49" i="22"/>
  <c r="P50" i="22" s="1"/>
  <c r="S49" i="22"/>
  <c r="S50" i="22" s="1"/>
  <c r="U49" i="22"/>
  <c r="U50" i="22" s="1"/>
  <c r="T48" i="92" s="1"/>
  <c r="F49" i="22"/>
  <c r="F50" i="22" s="1"/>
  <c r="H49" i="22"/>
  <c r="H50" i="22" s="1"/>
  <c r="J49" i="22"/>
  <c r="J50" i="22" s="1"/>
  <c r="L49" i="22"/>
  <c r="L50" i="22" s="1"/>
  <c r="M49" i="22"/>
  <c r="M50" i="22" s="1"/>
  <c r="O49" i="22"/>
  <c r="O50" i="22" s="1"/>
  <c r="Q49" i="22"/>
  <c r="Q50" i="22" s="1"/>
  <c r="T49" i="22"/>
  <c r="T50" i="22" s="1"/>
  <c r="E48" i="23" l="1"/>
  <c r="U48" i="23" s="1"/>
  <c r="U47" i="23"/>
  <c r="K50" i="28"/>
  <c r="L48" i="9" l="1"/>
  <c r="J48" i="9"/>
  <c r="D48" i="9"/>
  <c r="C48" i="9"/>
  <c r="I46" i="6"/>
  <c r="C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6" i="6"/>
  <c r="K15" i="6"/>
  <c r="K14" i="6"/>
  <c r="K13" i="6"/>
  <c r="K12" i="6"/>
  <c r="K11" i="6"/>
  <c r="K10" i="6"/>
  <c r="K9" i="6"/>
  <c r="K8" i="6"/>
  <c r="K7"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6" i="6"/>
  <c r="H15" i="6"/>
  <c r="H14" i="6"/>
  <c r="H13" i="6"/>
  <c r="H12" i="6"/>
  <c r="H11" i="6"/>
  <c r="H10" i="6"/>
  <c r="H9" i="6"/>
  <c r="H8" i="6"/>
  <c r="H7" i="6"/>
  <c r="K6" i="6"/>
  <c r="H6" i="6"/>
  <c r="C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F48" i="3"/>
  <c r="F47" i="3"/>
  <c r="F46" i="3"/>
  <c r="F45" i="3"/>
  <c r="F43" i="3"/>
  <c r="F42" i="3"/>
  <c r="F41" i="3"/>
  <c r="F37" i="3"/>
  <c r="F34" i="3"/>
  <c r="F31" i="3"/>
  <c r="F30" i="3"/>
  <c r="F29" i="3"/>
  <c r="F27" i="3"/>
  <c r="F26" i="3"/>
  <c r="F25" i="3"/>
  <c r="F24" i="3"/>
  <c r="F22" i="3"/>
  <c r="F21" i="3"/>
  <c r="F18" i="3"/>
  <c r="F17" i="3"/>
  <c r="F16" i="3"/>
  <c r="F15" i="3"/>
  <c r="F14" i="3"/>
  <c r="F13" i="3"/>
  <c r="F11" i="3"/>
  <c r="F10" i="3"/>
  <c r="F9" i="3"/>
  <c r="F8" i="3"/>
  <c r="F6" i="3"/>
  <c r="F5" i="3"/>
  <c r="F44" i="3"/>
  <c r="F40" i="3"/>
  <c r="F39" i="3"/>
  <c r="F38" i="3"/>
  <c r="F36" i="3"/>
  <c r="F35" i="3"/>
  <c r="F33" i="3"/>
  <c r="F32" i="3"/>
  <c r="F28" i="3"/>
  <c r="F23" i="3"/>
  <c r="F20" i="3"/>
  <c r="F19" i="3"/>
  <c r="F12" i="3"/>
  <c r="F7" i="3"/>
  <c r="F4" i="3"/>
  <c r="F3" i="3"/>
  <c r="F49" i="3" l="1"/>
  <c r="F50" i="3" s="1"/>
  <c r="F51" i="3" s="1"/>
  <c r="E46" i="6"/>
  <c r="H46" i="6"/>
  <c r="K46" i="6"/>
  <c r="E46" i="5"/>
  <c r="C49" i="9"/>
  <c r="F49" i="9"/>
  <c r="F50" i="9" s="1"/>
  <c r="I49" i="9"/>
  <c r="I50" i="9" s="1"/>
  <c r="L49" i="9"/>
  <c r="L50" i="9" s="1"/>
  <c r="D49" i="9"/>
  <c r="D50" i="9" s="1"/>
  <c r="G49" i="9"/>
  <c r="G50" i="9" s="1"/>
  <c r="J49" i="9"/>
  <c r="J50" i="9" s="1"/>
  <c r="C50" i="9" l="1"/>
  <c r="N50" i="9" s="1"/>
  <c r="L51" i="89" s="1"/>
  <c r="E48" i="5"/>
  <c r="E49" i="5" s="1"/>
  <c r="E47" i="5"/>
  <c r="K47" i="6"/>
  <c r="K48" i="6" s="1"/>
  <c r="K49" i="6" s="1"/>
</calcChain>
</file>

<file path=xl/sharedStrings.xml><?xml version="1.0" encoding="utf-8"?>
<sst xmlns="http://schemas.openxmlformats.org/spreadsheetml/2006/main" count="6191" uniqueCount="2040">
  <si>
    <t>DESCRIPCION</t>
  </si>
  <si>
    <t>PRESENTACION</t>
  </si>
  <si>
    <t>CANTIDAD</t>
  </si>
  <si>
    <t xml:space="preserve"> VR UNIT </t>
  </si>
  <si>
    <t xml:space="preserve"> VR. TOTAL </t>
  </si>
  <si>
    <t>ADHESIVO PARA ROTURAR CAJAS</t>
  </si>
  <si>
    <t>UNIDAD</t>
  </si>
  <si>
    <t>ALMOHADILLAS PARA SELLO</t>
  </si>
  <si>
    <t>AZ OFICIO</t>
  </si>
  <si>
    <t>BORRADOR DE NATA</t>
  </si>
  <si>
    <t>CARPETAS CELUGUIAS (marron)</t>
  </si>
  <si>
    <t>CARPETAS PLASTICAS COLGANTES VARIOS COLORES</t>
  </si>
  <si>
    <t>CARPETAS LEGAJADORA IMPRESA FULL COLOR</t>
  </si>
  <si>
    <t>CINTA TRANSPARENTE PARA EMBALAR 50 mm</t>
  </si>
  <si>
    <t>UND</t>
  </si>
  <si>
    <t>MEMORIA COMPUTADOR RAM VARIAS</t>
  </si>
  <si>
    <t>BUS DE DATOS IMPRESORA EPSON 890</t>
  </si>
  <si>
    <t xml:space="preserve">CINTA AISLANTE </t>
  </si>
  <si>
    <t>CINTA EPSON LX-300</t>
  </si>
  <si>
    <t>CINTA EPSON 890</t>
  </si>
  <si>
    <t>CINTA TIRRO</t>
  </si>
  <si>
    <t>CINTAS EPSON 2190</t>
  </si>
  <si>
    <t>CORRECTOR LIQUIDO PRESENTACION EN LAPIZ</t>
  </si>
  <si>
    <t>CDS</t>
  </si>
  <si>
    <t>GANCHOS CLIPS</t>
  </si>
  <si>
    <t>CAJA</t>
  </si>
  <si>
    <t>GANCHOS COSEDORA</t>
  </si>
  <si>
    <t>GANCHOS LEGAJADOR METALICO X 50</t>
  </si>
  <si>
    <t>GANCHOS LEGAJADOR PLASTICO X 20</t>
  </si>
  <si>
    <t>GANCHOS CLIP MARIPOSA</t>
  </si>
  <si>
    <t>HUELLERO</t>
  </si>
  <si>
    <t>LAPIZ NEGRO</t>
  </si>
  <si>
    <t>NUMERADOR PEQUEÑO</t>
  </si>
  <si>
    <t>LIBROS 300 FOLIOS</t>
  </si>
  <si>
    <t>PAPEL ELECTROCARDIOGRAMA SHILLER AT-1</t>
  </si>
  <si>
    <t>ROLLO</t>
  </si>
  <si>
    <t>PAPEL CARBON CARTA X 50 HOJAS</t>
  </si>
  <si>
    <t>PERFORADORA</t>
  </si>
  <si>
    <t xml:space="preserve">PILAS AA </t>
  </si>
  <si>
    <t>PAR</t>
  </si>
  <si>
    <t>TIJERA PAPEL 20 Cm</t>
  </si>
  <si>
    <t>PILAS MEDIANAS</t>
  </si>
  <si>
    <t>PILAS AAA</t>
  </si>
  <si>
    <t>RESALTADOR VARIADO</t>
  </si>
  <si>
    <t>SACAGANCHOS</t>
  </si>
  <si>
    <t>TONER HP 12 A</t>
  </si>
  <si>
    <t>TONER HP 35 A</t>
  </si>
  <si>
    <t>TONER CILINDROS FOTOCOPIADORA RICOH MP 1900</t>
  </si>
  <si>
    <t>TONER CUCHILLAS FOTOCOPIADORA RICOH MP 1900</t>
  </si>
  <si>
    <t>TONER REVELADOR FOTOCOPIADORA RICOH MP 1900</t>
  </si>
  <si>
    <t>TONER FOTOCOPIADORA RICOH MP 1900</t>
  </si>
  <si>
    <t>TONER XEROX 3117</t>
  </si>
  <si>
    <t>TONER KYOCERA 2810</t>
  </si>
  <si>
    <t>TONER SAMSUNG 2240</t>
  </si>
  <si>
    <t>SOBRE MANILA OFICIO</t>
  </si>
  <si>
    <t>SOBRE MANILA CARTA</t>
  </si>
  <si>
    <t>FECHADOR PEQUEÑO</t>
  </si>
  <si>
    <t>MEMORIA USB 8 G</t>
  </si>
  <si>
    <t>FORMAS CONTINUAS 2 PARTES</t>
  </si>
  <si>
    <t>FORMAS CONTINUAS TROQUELADAS 3 PARTES</t>
  </si>
  <si>
    <t>FORMAS CONTINUAS UNA PARTE</t>
  </si>
  <si>
    <t>CUADERNO ARGOLLADO</t>
  </si>
  <si>
    <t>MARCADOR BORRABLE</t>
  </si>
  <si>
    <t>ATENCION URGENCIAS TAMAÑO  CARTA</t>
  </si>
  <si>
    <t>HOJA</t>
  </si>
  <si>
    <t>EVOLUCION TAMAÑO CARTA</t>
  </si>
  <si>
    <t>ACTA  DE REUNION MENSUAL ASOCIACION USUARIOS</t>
  </si>
  <si>
    <t>ACTA DE RETIRO VOLUNTARIO</t>
  </si>
  <si>
    <t>ADHESIVO PARA ROTULOS</t>
  </si>
  <si>
    <t>ADMISION EN EL SERVICIO DE URGENCIAS</t>
  </si>
  <si>
    <t>BALANCE DE LIQUIDOS</t>
  </si>
  <si>
    <t>BITACORA DE CONTROL DE CALIDAD INTERNA</t>
  </si>
  <si>
    <t>HIST.CLINICA ADULTO MAYOR DE 45 AÑOS</t>
  </si>
  <si>
    <t>CARNET CITOLOGIA</t>
  </si>
  <si>
    <t>HISTORIA ADMINISTRATIVA</t>
  </si>
  <si>
    <t>HISTORIA CLINICA ODONTOLOGICA SEGUNDA (DOS)</t>
  </si>
  <si>
    <t>CARNET CONTROL JOVEN</t>
  </si>
  <si>
    <t>CARNET VACUNACION ADULTO</t>
  </si>
  <si>
    <t>CARNET VACUNACION DE SEGUIMINETO</t>
  </si>
  <si>
    <t>CONTROL DE FECHAS DE VENCIMIENTO</t>
  </si>
  <si>
    <t>CONTROL PLANIFICACION FAMILIAR</t>
  </si>
  <si>
    <t>CONTROL PRENATAL / ENFERMERIA</t>
  </si>
  <si>
    <t>DEVOLUCION A LA FARMACIA PRINCIPAL</t>
  </si>
  <si>
    <t>CARNET PROMOCION Y PREVENCION CARTULINA CYD</t>
  </si>
  <si>
    <t>ESCALA ABREVIADA  A,B,C,D JUEGO 2 HOJAS</t>
  </si>
  <si>
    <t>FORMAS 9 1/2 X 5 1/2 TROQUELADAS</t>
  </si>
  <si>
    <t>FORMATO INDICE COP MODIFICADO</t>
  </si>
  <si>
    <t>ENCUESTA INTERNA SIAU</t>
  </si>
  <si>
    <t>FORMATO INDICE CORPORAL GESTANTES</t>
  </si>
  <si>
    <t>FORMATO SUGERENCIA DE BUZON</t>
  </si>
  <si>
    <t>FORMULA MEDICA</t>
  </si>
  <si>
    <t>TALONA</t>
  </si>
  <si>
    <t>FORMULA MEDICAS TALONARIO 50 HOJAS 1 COPIA</t>
  </si>
  <si>
    <t>ENCUESTA ODONTOLOGIA</t>
  </si>
  <si>
    <t>REFERENCIA Y CONTRAREFERENCIA TAMAÑO CARTA 2 CARAS</t>
  </si>
  <si>
    <t>CONSENTIMIENTO INFORMADO PRUEBA VIH</t>
  </si>
  <si>
    <t>HEMATOLOGIA - LABORATORIO</t>
  </si>
  <si>
    <t>WINSISVAN 18 AÑOS</t>
  </si>
  <si>
    <t>HISTORIA CLINICA P Y P ATENCION  ODONTOLOGICA</t>
  </si>
  <si>
    <t>HOJA CARNET  CRECIMIENTO Y DESARROLLO</t>
  </si>
  <si>
    <t>HOJA CARNET CONTROL DE HIPERTENSION ARTE</t>
  </si>
  <si>
    <t>NOTAS DE ENFERMERIA PLANIFICACION FAMILIAR</t>
  </si>
  <si>
    <t>NOTAS ENFERMERIA ROSADA</t>
  </si>
  <si>
    <t>HOJA CONSENTIMIENTO INFORMADO PROCEDIMIENTOS</t>
  </si>
  <si>
    <t>HOJA ENCUESTA LABORATORIO CLINICO</t>
  </si>
  <si>
    <t>HOJA ENCUESTA PROMOCION Y PREVENCION</t>
  </si>
  <si>
    <t>HOJA ENCUESTA URGENCIAS</t>
  </si>
  <si>
    <t>HOJA FICHA DE SEGUIMIENTO DE PATOLOGIA RENAL</t>
  </si>
  <si>
    <t>HOJA FORM. SOLICITUD  VACUNA CONTRA NEUMOCOCO</t>
  </si>
  <si>
    <t>HOJA KARDEX PARA VACUNAS</t>
  </si>
  <si>
    <t>HOJA NOTA  ENFERM. PROG. CRECIMIENTO Y DESARROLLO</t>
  </si>
  <si>
    <t>HOJA PERD.  BIOLOGICO Y JERINGAS POR MUNIC. (PAI)</t>
  </si>
  <si>
    <t>HOJA REGISTRO DE ATENCION Y ORIENTACION AL CLIENTE EXT.</t>
  </si>
  <si>
    <t>HOJA REGISTRO DIARIO VACUNACION SABANA</t>
  </si>
  <si>
    <t>TRIAGE TAMAÑO CARTA</t>
  </si>
  <si>
    <t xml:space="preserve">UROANALISIS </t>
  </si>
  <si>
    <t>HOJA REGISTRO TEMPERATURA REFRIGERADOR</t>
  </si>
  <si>
    <t>HOJA SEGUIMIENTO GESTANTES</t>
  </si>
  <si>
    <t>HOJA WINSISVAN MENORES</t>
  </si>
  <si>
    <t>NOTA  ENFERM. PROG. CRECIMIENTO Y DESARROLLO</t>
  </si>
  <si>
    <t>NOTA  ENFERMERIA TOMA DE CITOLOGIA</t>
  </si>
  <si>
    <t>PROGRAMA CHARLAS EDUCATIVAS</t>
  </si>
  <si>
    <t>NOTA ENFERMERIA CRECIMIENTO Y DESARROLLO</t>
  </si>
  <si>
    <t>NOTAS DE TRAMITE DE GERENCIA CORATADAS</t>
  </si>
  <si>
    <t>PLAN DE MEJORAMIENTO DE LA CALIDAD - CONTROLES EXTERN</t>
  </si>
  <si>
    <t>KARDEX CONTROL PRENATAL</t>
  </si>
  <si>
    <t>PLANILLA DE CITA ODONTOLOGICA</t>
  </si>
  <si>
    <t>INFORMACION MENSUAL VACUNACION</t>
  </si>
  <si>
    <t>PLANILLA DE CITAS MEDICAS</t>
  </si>
  <si>
    <t>ORDEN DE APLICAION INTERNA DE MEDICAMENTOS</t>
  </si>
  <si>
    <t>CONTROL DE MEDICAMENTOS</t>
  </si>
  <si>
    <t>ORDENES MEDICAS</t>
  </si>
  <si>
    <t>CONTROL DE MEDICINAS</t>
  </si>
  <si>
    <t>RE- EVALUACION ODONTOLOGICA</t>
  </si>
  <si>
    <t>CONTROL DE SIGNOS VITALES</t>
  </si>
  <si>
    <t>RECEPCION TECNICA DE MEDICAMENTOS Y DISPOSITIVOS MEDICOS</t>
  </si>
  <si>
    <t>REJILLA PERIMETRO CEFALICO NIÑA 0 a 5 AÑOS</t>
  </si>
  <si>
    <t>REJILLA PESO - TALLA PARA EDAD NIÑAS 0 a 2 AÑOS</t>
  </si>
  <si>
    <t>REJILLA TALLA PARA EDAD NIÑAS DE 5 a 18 AÑOS</t>
  </si>
  <si>
    <t>REPORTES DE GESTANTES CON SEROLOGIA REACTIVA</t>
  </si>
  <si>
    <t>RESULTADO LABORATORIO CLINICO</t>
  </si>
  <si>
    <t>RIPS 2 CARAS CONSULTA Y PROCEDIMIENTO</t>
  </si>
  <si>
    <t>SOLICITUD DE MEDICAMENTOS Y DISPOSITIVOS MEDICOS</t>
  </si>
  <si>
    <t>ACTA DE APERTURA DE BUZON</t>
  </si>
  <si>
    <t>SOLICITUD DE TRATAMIENTO APOYO AL DIAGNOSTICO TALONARIO x 50 HOJAS</t>
  </si>
  <si>
    <t>TABULACION ENCUESTA CONSULTA EXTERNA</t>
  </si>
  <si>
    <t>TALONARIOS PRESTACION DE SERV. ARS</t>
  </si>
  <si>
    <t>TARJETA DE MEDICAMENTOS CARTULINA</t>
  </si>
  <si>
    <t>SOLICITUD AUTORIZACION DE SERVICIOS DE SALUD</t>
  </si>
  <si>
    <t>URGENCIA DE ODONTOLOGIA</t>
  </si>
  <si>
    <t>PAPEL EKG EQUIPO EDAN MOD SE-601C</t>
  </si>
  <si>
    <t>PAQUETE</t>
  </si>
  <si>
    <t>PAPEL EKG KRAMER COD 1005020 50mm x 30 mt(int 16 mm)</t>
  </si>
  <si>
    <t>PAPEL CREPADO GRADO MEDICO PARA ESTERILIZACION Gramaje 60gr/m2 , Ancho de 54 cm x 100 metros</t>
  </si>
  <si>
    <t>PAPEL CRISTAFLEX ROLLO POR 100 METROS</t>
  </si>
  <si>
    <t>PAPEL ALUMINIO ROLLO x 100 METROS</t>
  </si>
  <si>
    <t>ROLLO DE PAPEL KRAFT 1 x 50 METROS</t>
  </si>
  <si>
    <t>LAPICERO PUNTA DE DIAMANTE KRAMER</t>
  </si>
  <si>
    <t>COSTO DIRECTO</t>
  </si>
  <si>
    <t>IVA</t>
  </si>
  <si>
    <t>COSTO TOTAL</t>
  </si>
  <si>
    <t>GRAN TOTAL</t>
  </si>
  <si>
    <t>CANT.</t>
  </si>
  <si>
    <t>VR. UNIT</t>
  </si>
  <si>
    <t>VR. TOTAL</t>
  </si>
  <si>
    <t>PLEGABLE  TAMAÑO 24cm x 33cm propalcote 115gr. Full color</t>
  </si>
  <si>
    <t>TRIPTICO PORTAFOLIO DE SERVICIOS FULL COLOR</t>
  </si>
  <si>
    <t>CARNET FULL COLOR UNA CARA 8,5*5,5 CMS</t>
  </si>
  <si>
    <t>AFICHES INSTITUCIONALES</t>
  </si>
  <si>
    <t>VOLANTES PAPEL BONDS TAMAÑO 1/2 CARTA</t>
  </si>
  <si>
    <t>VOLANTES PAPEL BONDS TAMAÑO OFICIO</t>
  </si>
  <si>
    <t>CALENDARIO BOLSILLO</t>
  </si>
  <si>
    <t xml:space="preserve">CALENDARIO INSTITUCIONAL ESCRITORIO </t>
  </si>
  <si>
    <t>AGENDA INSTITUCIONAL</t>
  </si>
  <si>
    <t>BOTON PUBLICITARIO 4,5CM DIAMETRO, FULL COLOR INSTITUCIONAL</t>
  </si>
  <si>
    <t>CASSETTE MINI DVD (CAJA)</t>
  </si>
  <si>
    <t>ARCHIVADOR</t>
  </si>
  <si>
    <t>TRIPODE PARA CAMARA</t>
  </si>
  <si>
    <t>CAMARA FOTOGRAFICA DIGITAL</t>
  </si>
  <si>
    <t>CAMARA FILMADORA MINI DVD</t>
  </si>
  <si>
    <t>VALOR TOTAL</t>
  </si>
  <si>
    <t>CEPILLOS PARA LAVAR ROPA</t>
  </si>
  <si>
    <t>UNID</t>
  </si>
  <si>
    <t>ESCOBAS COMPLETAS</t>
  </si>
  <si>
    <t>TRAPEROS N° 36 CON MANGO</t>
  </si>
  <si>
    <t>GUANTES TALLA 8 Y 9</t>
  </si>
  <si>
    <t>LIMPIAVIDRIOS CON ATOMIZADOR</t>
  </si>
  <si>
    <t>FCO</t>
  </si>
  <si>
    <t>BOLSA VERDES  DE 200 L X 12 UN</t>
  </si>
  <si>
    <t>PAQ</t>
  </si>
  <si>
    <t>BOLSAS GRIS DE 200 L X 12 UN</t>
  </si>
  <si>
    <t>BOLSAS ROJAS DE 200L X 12 UN</t>
  </si>
  <si>
    <t>BOLSAS VERDES DE 60L X 12 UN</t>
  </si>
  <si>
    <t>BOLSAS ROJAS DE  60L X 12UN</t>
  </si>
  <si>
    <t>BOLSAS GRIS DE 60L X12 UN</t>
  </si>
  <si>
    <t>BOLSAS ROJA DE 30L X 50 UN</t>
  </si>
  <si>
    <t>BOLSAS VERDES DE 30L X 50 UN</t>
  </si>
  <si>
    <t>BOLSAS GRIS DE 30 L X 50 UN</t>
  </si>
  <si>
    <t>ESPONJA VERDE</t>
  </si>
  <si>
    <t>AMBIENTADORES SPRAY</t>
  </si>
  <si>
    <t>LIMPIADOR ABRASIVO</t>
  </si>
  <si>
    <t>AMBIENTADOR BARRA</t>
  </si>
  <si>
    <t>JABON AZUL PURO</t>
  </si>
  <si>
    <t>DETERGENTE EN POLVO X 1000 gr</t>
  </si>
  <si>
    <t xml:space="preserve">DESINFECTANTE  PISO  X 1000 ML </t>
  </si>
  <si>
    <t>HIPOCLORITO X 1000 ML</t>
  </si>
  <si>
    <t xml:space="preserve">AROMATICA VARIANO </t>
  </si>
  <si>
    <t>AZUCAR REFINADA X 1000 gr</t>
  </si>
  <si>
    <t>KILO</t>
  </si>
  <si>
    <t>CAFÉ 500 gr</t>
  </si>
  <si>
    <t>LIBRA</t>
  </si>
  <si>
    <t>CHUPAS PARA BAÑOS MANGO  PLAST</t>
  </si>
  <si>
    <t>CHURRUCO PARA BAÑO MANGO PLAST</t>
  </si>
  <si>
    <t>BOLSAS DE 5 KILOS BLANCAS</t>
  </si>
  <si>
    <t>RECOGEDOR BASURA CON PALO</t>
  </si>
  <si>
    <t>SERVILLETAS PAQ X 500 U</t>
  </si>
  <si>
    <t>VASOS DESECHABLES 7 OZ PAQ X 25 U</t>
  </si>
  <si>
    <t>MANGUERA DE 30 MTS CON BOQUILLA</t>
  </si>
  <si>
    <t>MEZCLADOR PLASTICO PAQ X 1000 U</t>
  </si>
  <si>
    <t>JABON LAVAPLATOS CREMA 1000 gr</t>
  </si>
  <si>
    <t>LIMPIADOR MUEBLES</t>
  </si>
  <si>
    <t>HARAGAN</t>
  </si>
  <si>
    <t>CUCHARAS DESECHABLES PAQ X 100 U</t>
  </si>
  <si>
    <t>TOALLAS DISPENSADOR</t>
  </si>
  <si>
    <t>PAPEL HIGIENICO</t>
  </si>
  <si>
    <t>TOALLAS PYP</t>
  </si>
  <si>
    <t>GUARDIANES</t>
  </si>
  <si>
    <t>ROLLOS</t>
  </si>
  <si>
    <t>PAPEL ELECTRO</t>
  </si>
  <si>
    <t>PAPEL CREPADO</t>
  </si>
  <si>
    <t>ESCOBILLON</t>
  </si>
  <si>
    <t>VALDES 10 LTS</t>
  </si>
  <si>
    <t>SOPORTE</t>
  </si>
  <si>
    <t>ITEM</t>
  </si>
  <si>
    <t>I.P.S / UNIDAD BASICA</t>
  </si>
  <si>
    <t>CANECAS</t>
  </si>
  <si>
    <t>ROJAS</t>
  </si>
  <si>
    <t>VERDES</t>
  </si>
  <si>
    <t>GRISES</t>
  </si>
  <si>
    <t>VALOR UNIT.</t>
  </si>
  <si>
    <t>MED,</t>
  </si>
  <si>
    <t xml:space="preserve"> AEROPUERTO</t>
  </si>
  <si>
    <t xml:space="preserve"> AGUA CLARA</t>
  </si>
  <si>
    <t xml:space="preserve"> ANTONIA SANTOS</t>
  </si>
  <si>
    <t xml:space="preserve"> BELISARIO</t>
  </si>
  <si>
    <t xml:space="preserve"> BANCO DE ARENA</t>
  </si>
  <si>
    <t xml:space="preserve"> BELEN</t>
  </si>
  <si>
    <t xml:space="preserve"> BOCONO</t>
  </si>
  <si>
    <t xml:space="preserve"> BUENA ESPERANZA</t>
  </si>
  <si>
    <t xml:space="preserve"> CERRITO</t>
  </si>
  <si>
    <t xml:space="preserve"> CLARET</t>
  </si>
  <si>
    <t xml:space="preserve"> CONTENTO</t>
  </si>
  <si>
    <t xml:space="preserve"> CUNDINAMARCA</t>
  </si>
  <si>
    <t xml:space="preserve"> DIVINA PASTORA</t>
  </si>
  <si>
    <t>DOMINGO PEREZ</t>
  </si>
  <si>
    <t xml:space="preserve"> GUAIMARAL</t>
  </si>
  <si>
    <t xml:space="preserve"> GUARAMITO</t>
  </si>
  <si>
    <t xml:space="preserve"> LA FLORESTA</t>
  </si>
  <si>
    <t xml:space="preserve"> LA ERMITA</t>
  </si>
  <si>
    <t xml:space="preserve"> LOMA DE BOLIVAR</t>
  </si>
  <si>
    <t xml:space="preserve"> LOS ALPES                             </t>
  </si>
  <si>
    <t xml:space="preserve"> NIÑA CECI</t>
  </si>
  <si>
    <t xml:space="preserve"> OSPINA PEREZ</t>
  </si>
  <si>
    <t xml:space="preserve"> PALMARITO</t>
  </si>
  <si>
    <t xml:space="preserve"> PALMERAS</t>
  </si>
  <si>
    <t>POLICLINICO</t>
  </si>
  <si>
    <t xml:space="preserve"> PORTICO</t>
  </si>
  <si>
    <t xml:space="preserve"> RODEO</t>
  </si>
  <si>
    <t xml:space="preserve"> SALADO</t>
  </si>
  <si>
    <t xml:space="preserve"> SAN FAUSTINO</t>
  </si>
  <si>
    <t xml:space="preserve"> SAN LUIS</t>
  </si>
  <si>
    <t xml:space="preserve"> SAN MARTIN</t>
  </si>
  <si>
    <t xml:space="preserve"> SAN MATEO</t>
  </si>
  <si>
    <t xml:space="preserve"> SANTA ANA</t>
  </si>
  <si>
    <t xml:space="preserve"> SEVILLA</t>
  </si>
  <si>
    <t xml:space="preserve"> TOLEDO PLATA</t>
  </si>
  <si>
    <t xml:space="preserve"> U. B. COMUNEROS</t>
  </si>
  <si>
    <t xml:space="preserve"> U. B. LA LIBERTAD</t>
  </si>
  <si>
    <t xml:space="preserve"> U. B. PUENTE BARCO</t>
  </si>
  <si>
    <t xml:space="preserve"> VIRGILIO BARCO</t>
  </si>
  <si>
    <t>SEDE ADMINISTRATIVA</t>
  </si>
  <si>
    <t xml:space="preserve">SUB TOTAL </t>
  </si>
  <si>
    <t>IVA 16%</t>
  </si>
  <si>
    <t>GRAN  TOTAL</t>
  </si>
  <si>
    <t>SUBTOTAL</t>
  </si>
  <si>
    <t>VR. UNIT.</t>
  </si>
  <si>
    <t xml:space="preserve">CUADRO DE COSTOS </t>
  </si>
  <si>
    <t>NOMBRE DE I.P.S.</t>
  </si>
  <si>
    <t>ESTANTES METALICOS</t>
  </si>
  <si>
    <t>SILLA TANDEM</t>
  </si>
  <si>
    <t>VENTILADORES</t>
  </si>
  <si>
    <t>DVD</t>
  </si>
  <si>
    <t>PLANTAS ELECTRICAS</t>
  </si>
  <si>
    <t>LOCKER 6 PUESTOS</t>
  </si>
  <si>
    <t>BUZONES DE SUGERENCIA</t>
  </si>
  <si>
    <t>SUB  TOTAL</t>
  </si>
  <si>
    <t xml:space="preserve"> U. B. DE COMUNEROS</t>
  </si>
  <si>
    <t>SUBTOTALES</t>
  </si>
  <si>
    <t>TOTAL</t>
  </si>
  <si>
    <t>ITEMS</t>
  </si>
  <si>
    <t>EXTINTOR DE SOLKAFLAN DE 3,700 GRS</t>
  </si>
  <si>
    <t>EXTINTOR DE AGUA A PRESION ACERO INOXIDABLE DE 2,5 GRS</t>
  </si>
  <si>
    <t>EXTINTOR POLVO QUIMICO SECO DE 30LBS ABC</t>
  </si>
  <si>
    <t>EXTINTOR POLVO QUIMICO SECO DE 10LBS ABC</t>
  </si>
  <si>
    <t>EXTINTOR POLVO QUIMICO SECO DE 20 LBS ABC</t>
  </si>
  <si>
    <t xml:space="preserve">No. </t>
  </si>
  <si>
    <t>MOTOS</t>
  </si>
  <si>
    <t>CARROS</t>
  </si>
  <si>
    <t>AMBULANCIA CON DOTACION</t>
  </si>
  <si>
    <t>CANTI     DAD</t>
  </si>
  <si>
    <t>VALOR UNITARIO</t>
  </si>
  <si>
    <t>CANTI         DAD</t>
  </si>
  <si>
    <t>TOTAL  VR. VEHICULOS</t>
  </si>
  <si>
    <t>CUADRO DE COSTOS</t>
  </si>
  <si>
    <t>RIÑONERAS</t>
  </si>
  <si>
    <t>LOMA DE BOLIVAR</t>
  </si>
  <si>
    <t>BUENA ESPERANZA</t>
  </si>
  <si>
    <t>PUENTE BARCO LEONES</t>
  </si>
  <si>
    <t>LIBERTAD</t>
  </si>
  <si>
    <t>COMUNEROS</t>
  </si>
  <si>
    <t>NEBULIZADOR</t>
  </si>
  <si>
    <t>CAMILLA PRINCIPAL CON SISTEMA DE ANCLAJE</t>
  </si>
  <si>
    <t>Tabla espinal corta o chaleco de extracción vehicular</t>
  </si>
  <si>
    <t>Atril portasuero de dos ganchos</t>
  </si>
  <si>
    <t>Silla de Ruedas Portatil</t>
  </si>
  <si>
    <t>Monitor de Signos Vitales</t>
  </si>
  <si>
    <t>Desfibrilador Automático Externo</t>
  </si>
  <si>
    <t>Un tensiómetro adultos.</t>
  </si>
  <si>
    <t>Un tensiómetro pediátrico</t>
  </si>
  <si>
    <t>Un fonendoscopio adultos</t>
  </si>
  <si>
    <t>Un fonendoscopio pediátrico</t>
  </si>
  <si>
    <t>Pinzas de Maguill</t>
  </si>
  <si>
    <t>Tijeras de material o cortatodo</t>
  </si>
  <si>
    <t>Un termómetro clínico.</t>
  </si>
  <si>
    <t>Una perilla de succión</t>
  </si>
  <si>
    <t>Una riñonera.</t>
  </si>
  <si>
    <t>Una lámpara de mano (linterna) con baterías de repuesto</t>
  </si>
  <si>
    <t>Una manta térmica aluminizada</t>
  </si>
  <si>
    <t>Aspirador de secreciones eléctrico</t>
  </si>
  <si>
    <t>Conjunto para inmovilización</t>
  </si>
  <si>
    <t>Un extintor para fuegos ABC, con capacidad mínima de carga de 2.26 kg.</t>
  </si>
  <si>
    <t>Chalecos reflectivos para la tripulación</t>
  </si>
  <si>
    <t>AGUA CLARA</t>
  </si>
  <si>
    <t>Valores dados en miles de PESOS.</t>
  </si>
  <si>
    <t>PROYECCION DE AUTOMATIZACION (Sistematizar I.P.S)</t>
  </si>
  <si>
    <t>SOFTWARE GESTION DOCUMENTAL</t>
  </si>
  <si>
    <t>No. IPS</t>
  </si>
  <si>
    <t>NOMBRE  DE  I.P.S.</t>
  </si>
  <si>
    <t>SOFTWARE GESTION DOCUMENTAL - SCANNER HISTORIA CLINICA</t>
  </si>
  <si>
    <t>SOFTWARE DE FACTURACION  - HISTORIA CLINICA INTEGRADO A TNS</t>
  </si>
  <si>
    <t>ANTIVIRUS NOD32</t>
  </si>
  <si>
    <t>INTERCONEXION - VPN -INTERNET</t>
  </si>
  <si>
    <t>SCANNER PROFESIONAL</t>
  </si>
  <si>
    <t>UPS.</t>
  </si>
  <si>
    <t>DIVINA PASTORA</t>
  </si>
  <si>
    <t xml:space="preserve">DOMINGO PEREZ </t>
  </si>
  <si>
    <t>LA ERMITA</t>
  </si>
  <si>
    <t>LOMA BOLIVAR</t>
  </si>
  <si>
    <t>SAN MATEO</t>
  </si>
  <si>
    <t>U.B. COMUNEROS</t>
  </si>
  <si>
    <t>U.B. LA LIBERTAD</t>
  </si>
  <si>
    <t>U.B. PUENTE BARCO</t>
  </si>
  <si>
    <t>NOTA: TENER EN CUENTA QUE AL ADQUIRIR UN NUEVO SOFTWARE DE FACTURACIÓN EN PLATAFORMA WEB NO SE DEBE ADQUIRIR EL ITEMS CONTRATO DE VPN, PERO SI INTERNET DEDICADO.</t>
  </si>
  <si>
    <t>PARA: Martín Giovanny RamirezJauregui - JEFE DE PRESUPUESTO Y CONTABILIDAD ESE IMSALUD</t>
  </si>
  <si>
    <t>DE: Yolanda Sánchez Arce - P.U.Informática ESE IMSALUD</t>
  </si>
  <si>
    <t>SEDEADMINISTRATIVA</t>
  </si>
  <si>
    <t>CANT</t>
  </si>
  <si>
    <t>INSUMOS</t>
  </si>
  <si>
    <t>No. DE IPS</t>
  </si>
  <si>
    <t>POLAINAS PARA CIRUGIA</t>
  </si>
  <si>
    <t>GORRAS INSTITUCIONALES</t>
  </si>
  <si>
    <t>CHALECOS INSTITUCIONALES</t>
  </si>
  <si>
    <t>BATAS PARA PERSONAL DE ENFERMERIA / EXTRAMURALES,JEFES DE ENFERMERIA, PERSONAL A INGRESAR</t>
  </si>
  <si>
    <t>SOPORTES</t>
  </si>
  <si>
    <t>ARTICULO</t>
  </si>
  <si>
    <t>V/UNIT</t>
  </si>
  <si>
    <t>V/TOTAL</t>
  </si>
  <si>
    <t xml:space="preserve">ESCOBILLAS PARA MICROCENTRIFUGA AUTOTRIT ULTRA III </t>
  </si>
  <si>
    <t xml:space="preserve">ESCOBILLAS PARA CENTRIFUGA DYNAC III CLAY ADAMS </t>
  </si>
  <si>
    <t>BOMBILLO EQU. REF 2900</t>
  </si>
  <si>
    <t>BOMBILLO EQUIPO ORGANO DE LOS SENTIDOS REF 03400</t>
  </si>
  <si>
    <t>BOMBILLO OFTALMOLOGICO REF 04400</t>
  </si>
  <si>
    <t>BOMBILLO OTOSCOPIO 25020</t>
  </si>
  <si>
    <t>BOMBILLO RIESTER REF 10421</t>
  </si>
  <si>
    <t>BOMBILLO RIESTER REF 10424</t>
  </si>
  <si>
    <t>BOMBILLO WELLCH ALLYN REF 1900</t>
  </si>
  <si>
    <t>BOMBILLOS PARA VALVAS DE LARINGOSCOPIO ADULTOS</t>
  </si>
  <si>
    <t>BRAZALETE PARA TENSIOMETRO WELLCH A.</t>
  </si>
  <si>
    <t>EMPAQUE DE CAMPANA FONENDOSCOPIO WELLCH A.</t>
  </si>
  <si>
    <t>EMPAQUE FONENDOSCOPIO LITMAN</t>
  </si>
  <si>
    <t xml:space="preserve">MANOMETRO   </t>
  </si>
  <si>
    <t>MEMBRANA LITMAN</t>
  </si>
  <si>
    <t>OLIVAS ALPK</t>
  </si>
  <si>
    <t>PERA TENSIOMETRO ALPK</t>
  </si>
  <si>
    <t>OBJETIVOS DE 40 MICROCOPIO MOD CH30 -CH31 CX30 CX31</t>
  </si>
  <si>
    <t>OBJETIVOS DE 100 MICROCOPIO MOD CH30 -CH31 CX30 CX31</t>
  </si>
  <si>
    <t>TUBOS PARA CINTRIFUGA DE METALICOS 60 x 100</t>
  </si>
  <si>
    <t>PILAS CR-32 DE MONEDA</t>
  </si>
  <si>
    <t>PINZAS PARA PULSOXIMETRO</t>
  </si>
  <si>
    <t>CABLE EKG</t>
  </si>
  <si>
    <t>CABLE PARA ELECTROCARDIOGRAFO</t>
  </si>
  <si>
    <t>CAIMANES PARA ADULTO</t>
  </si>
  <si>
    <t>CHUPAS ADULTO</t>
  </si>
  <si>
    <t>CAIMANES PEDIATRICOS</t>
  </si>
  <si>
    <t>CHUPAS PEDIATRICO</t>
  </si>
  <si>
    <t>VASOS PARA ASPIRADOR</t>
  </si>
  <si>
    <t>MANGUERAS PARA ASPIRADOR</t>
  </si>
  <si>
    <t>BOMBILLOS WELCH ALLYN PARA LARINGO N° 0 CAJA X 6 UNIDADES</t>
  </si>
  <si>
    <t>BOMBILLO WELCH ALLYN REF 3000</t>
  </si>
  <si>
    <t>BOMBILLO WELCH ALLYN REF 3200</t>
  </si>
  <si>
    <t>BOMBILLO WELCH ALLYN REF 6000</t>
  </si>
  <si>
    <t>BOMBILLO WELCH ALLYN REF 4800</t>
  </si>
  <si>
    <t>BOMBILLO WELCH ALLYN REF 3900</t>
  </si>
  <si>
    <t>BOMBILLO 6V 30 WA MICROSCOPIO</t>
  </si>
  <si>
    <t>BOMBILLO 24V 40 W</t>
  </si>
  <si>
    <t>MARCA</t>
  </si>
  <si>
    <t>Turbina estandar</t>
  </si>
  <si>
    <t>NSK</t>
  </si>
  <si>
    <t>Turbina mini</t>
  </si>
  <si>
    <t>OSRAM</t>
  </si>
  <si>
    <t>ADEC</t>
  </si>
  <si>
    <t>Vavula cambia vias</t>
  </si>
  <si>
    <t>Valvula reguladora</t>
  </si>
  <si>
    <t>Valvula eyectora neumatica</t>
  </si>
  <si>
    <t>Piedra de arkansas</t>
  </si>
  <si>
    <t>Manguera siliconado  1/4  por metro</t>
  </si>
  <si>
    <t>Pantalla de vidrio lampara</t>
  </si>
  <si>
    <t>Manguera 3 lineas lisa para pieza de alta metro</t>
  </si>
  <si>
    <t>Manguera eyectora gris</t>
  </si>
  <si>
    <t>Pedal de disco neumatico</t>
  </si>
  <si>
    <t>Llave saca fresas std</t>
  </si>
  <si>
    <t>Llave saca fresas mini</t>
  </si>
  <si>
    <t>Resistencias autoclave gnatus 12 l</t>
  </si>
  <si>
    <t>Tasa escupidera porcelana</t>
  </si>
  <si>
    <t>Pico para eyector completo</t>
  </si>
  <si>
    <t>SCHULZ</t>
  </si>
  <si>
    <t>Biela compresor</t>
  </si>
  <si>
    <t>Empaque trasero borden para pieza de mano</t>
  </si>
  <si>
    <t>Rodamientos 6203</t>
  </si>
  <si>
    <t>Lampara de fotocurado</t>
  </si>
  <si>
    <t>Mango para espejos</t>
  </si>
  <si>
    <t>unidad</t>
  </si>
  <si>
    <t>Fibra de vidrio lampara de fotocurado</t>
  </si>
  <si>
    <t>Bombillos bipinbulvo 12v 50w</t>
  </si>
  <si>
    <t>Rejilla plastica para escupidera</t>
  </si>
  <si>
    <t>Insertos para manguera 1/4</t>
  </si>
  <si>
    <t>Insertos para manguera 1/8</t>
  </si>
  <si>
    <t>Bujes de agujas ina-nk 12-16</t>
  </si>
  <si>
    <t>Retenedor 12*19*3 mm</t>
  </si>
  <si>
    <t>Plato porta valvulasmsv/6 shultz</t>
  </si>
  <si>
    <t>Filtro shultz de 1/4</t>
  </si>
  <si>
    <t>CLASE DE VEHICULO/ PLACAS</t>
  </si>
  <si>
    <t>ACPM</t>
  </si>
  <si>
    <t>ACEITE</t>
  </si>
  <si>
    <t>VALOR</t>
  </si>
  <si>
    <t>VEHICULO</t>
  </si>
  <si>
    <t>VEHICULO  OWN  213</t>
  </si>
  <si>
    <t>VEHICULO  OWN  212</t>
  </si>
  <si>
    <t>VEHICULO OWN  263</t>
  </si>
  <si>
    <t>AMBULANCIA  OWN  257</t>
  </si>
  <si>
    <t>AMBULANCIA  OWN  294</t>
  </si>
  <si>
    <t>AMBULANCIA  OWN  295</t>
  </si>
  <si>
    <t>AMBULANCIA  OWN  296</t>
  </si>
  <si>
    <t>VEHICULO   OWN   256</t>
  </si>
  <si>
    <t>MOVIL  OWN 258</t>
  </si>
  <si>
    <t>SUPER CARRY OWN  259</t>
  </si>
  <si>
    <t>SUPER CARRY OWN  260</t>
  </si>
  <si>
    <t>TERRACAN  OWN 262</t>
  </si>
  <si>
    <t>MONTERO  OWN  208</t>
  </si>
  <si>
    <t>MOTO KVG 33B</t>
  </si>
  <si>
    <t>MOTO  (Nuevo)</t>
  </si>
  <si>
    <t>CUADRO DE COSTOS (Ver soportes )</t>
  </si>
  <si>
    <t>No.</t>
  </si>
  <si>
    <t>SILLAS INTERLOCUTORAS</t>
  </si>
  <si>
    <t>SILLAS DE RUEDAS</t>
  </si>
  <si>
    <t>LAVADORA INDUSTRIAL</t>
  </si>
  <si>
    <t>MESA QUIRURGICA</t>
  </si>
  <si>
    <t>COLCHONETA PARA CAMA PEDITRICA</t>
  </si>
  <si>
    <t>BIOMBOS</t>
  </si>
  <si>
    <t>BASCULAS PARA RESIDUOS HOSPITALARIOS</t>
  </si>
  <si>
    <t>SECADORA INDUSTRIAL</t>
  </si>
  <si>
    <t>MICROMOTORES NSK</t>
  </si>
  <si>
    <t>TARRO EN ACERO INOXIDABLE</t>
  </si>
  <si>
    <t>MONITOR DE SIGNOS VITALES</t>
  </si>
  <si>
    <t>MAQUINA DE ANESTESIA</t>
  </si>
  <si>
    <t>CAMAS HOSPITALARIAS</t>
  </si>
  <si>
    <t>CAMILLA  GINOCOLOGICA</t>
  </si>
  <si>
    <t>NEGATOSCOPIO</t>
  </si>
  <si>
    <t>FONENDOSCOPIOS</t>
  </si>
  <si>
    <t>LAMPARA DE FOTUCURADO</t>
  </si>
  <si>
    <t>DOPLER</t>
  </si>
  <si>
    <t xml:space="preserve">OXIMETROS PORTATILES </t>
  </si>
  <si>
    <t>INSTRUMENTAL BASICO ODONTOLOGICO</t>
  </si>
  <si>
    <t>LAMPARA CUELLO DE CISNE</t>
  </si>
  <si>
    <t>LAMPARA CIELITICA FIJA</t>
  </si>
  <si>
    <t>RELOJ DE PARED</t>
  </si>
  <si>
    <t>AMBU PEDIATRICO</t>
  </si>
  <si>
    <t>RAYOS X DE MURO</t>
  </si>
  <si>
    <t>MESA DE MAYO</t>
  </si>
  <si>
    <t>CARROS DE PARO DE LUJO</t>
  </si>
  <si>
    <t>KIT CAJA DE ESTIMULACION</t>
  </si>
  <si>
    <t>INFANTOMETRO</t>
  </si>
  <si>
    <t>PESA BEBE DIGITAL 20 KG</t>
  </si>
  <si>
    <t>BALANZA CON TALLIMETRO</t>
  </si>
  <si>
    <t>RAYOS X FIJOS</t>
  </si>
  <si>
    <t>INSTRUMENTAL MEDICO-QUIRURGICO</t>
  </si>
  <si>
    <t>LARINGOSCOPIO</t>
  </si>
  <si>
    <t>DESFRIBILIDADOR FIJO ADULTO PEDIATRICO</t>
  </si>
  <si>
    <t>ELECTROCAUTERIO</t>
  </si>
  <si>
    <t>ECOGRAFOS</t>
  </si>
  <si>
    <t>BAÑO CEROLOGICO</t>
  </si>
  <si>
    <t xml:space="preserve"> U.B. LOMA DE BOLIVAR</t>
  </si>
  <si>
    <t>SALADO</t>
  </si>
  <si>
    <t>TOLEDO PLATA</t>
  </si>
  <si>
    <t>CUCHARILLAS DE BLACK</t>
  </si>
  <si>
    <t>PINZAS ALGODONERAS</t>
  </si>
  <si>
    <t>DELANTAL DE PLOMO</t>
  </si>
  <si>
    <t>DENTIMETROS</t>
  </si>
  <si>
    <t>SONDAS PERIODONTALES</t>
  </si>
  <si>
    <t>ESPACIADORES DE CONDUCTOS</t>
  </si>
  <si>
    <t xml:space="preserve">DESCRIPCION </t>
  </si>
  <si>
    <t>NOMBRE   DE  I. P.S.</t>
  </si>
  <si>
    <t>24000 BTU</t>
  </si>
  <si>
    <t>18000 BTU</t>
  </si>
  <si>
    <t>12000 BTU</t>
  </si>
  <si>
    <t>VR.TOTAL</t>
  </si>
  <si>
    <t>BOCONO</t>
  </si>
  <si>
    <t xml:space="preserve">IPOCLORITO DE SODIO POR TRES VECES AL AÑO </t>
  </si>
  <si>
    <t>GEL EXTERMINADOR POR 3 VECES AL AÑO</t>
  </si>
  <si>
    <t xml:space="preserve">VALOR TOTAL </t>
  </si>
  <si>
    <t>ANTONIA SANTOS</t>
  </si>
  <si>
    <t xml:space="preserve"> DOMINGO PEREZ</t>
  </si>
  <si>
    <t xml:space="preserve"> LOS ALPES</t>
  </si>
  <si>
    <t>VIRGILIO BARCO</t>
  </si>
  <si>
    <t>OXIGENO MED. INS. CIL. ACERO 6,5 M3</t>
  </si>
  <si>
    <t>OXIGENO MED. CIL. ALUMINO 1,0 M3</t>
  </si>
  <si>
    <t>BOTELLONES DE AGUA</t>
  </si>
  <si>
    <t>GRAN TOTAL </t>
  </si>
  <si>
    <t xml:space="preserve">E.S.E. IMSALUD </t>
  </si>
  <si>
    <t>SERVICIOS PERSONALES INDIRECTOS</t>
  </si>
  <si>
    <t>PERSONAL VIGILANCIA E.S.E. IMSALUD</t>
  </si>
  <si>
    <t>PERSONAL DE VIGILANCIA DE LA ESE IMSALUD</t>
  </si>
  <si>
    <t>TOTAL PROYECCION 2014</t>
  </si>
  <si>
    <t xml:space="preserve">ADQUISICION DE SERVICIOS </t>
  </si>
  <si>
    <t>SEGUROS GENERALES DE LA ESE IMSALUD</t>
  </si>
  <si>
    <t>AUTOMOVILES</t>
  </si>
  <si>
    <t>SEG. OBLIGATORIOS ACC. TRANSIT-SOA</t>
  </si>
  <si>
    <t>EQUIPOS ELECTRONICOS</t>
  </si>
  <si>
    <t>INCENDIO</t>
  </si>
  <si>
    <t xml:space="preserve">MANEJO </t>
  </si>
  <si>
    <t>ROTURA DE MAQUINARIA</t>
  </si>
  <si>
    <t>RESPONSABILIDAD CIVIL</t>
  </si>
  <si>
    <t>SUSTRACCION</t>
  </si>
  <si>
    <t xml:space="preserve">TOTAL </t>
  </si>
  <si>
    <t xml:space="preserve">MANTENIMIENTOS IPS DE LA E.S.E. IMSALUD </t>
  </si>
  <si>
    <t>ORGANISMOS DE SALUD</t>
  </si>
  <si>
    <t>AEROPUERTO</t>
  </si>
  <si>
    <t>BELISARIO</t>
  </si>
  <si>
    <t>MANTENIMIENTO GENERAL INFRAESTRUCTURA</t>
  </si>
  <si>
    <t>ZONAS EXTERIORES</t>
  </si>
  <si>
    <t>SUB TOTAL</t>
  </si>
  <si>
    <t>BELEN</t>
  </si>
  <si>
    <t>MANTENIMIENTO  ZONA CONSULTA EXTERNA</t>
  </si>
  <si>
    <t>CERRITO</t>
  </si>
  <si>
    <t>CLARET</t>
  </si>
  <si>
    <t>CONTENTO</t>
  </si>
  <si>
    <t>CUNDINAMARCA</t>
  </si>
  <si>
    <t xml:space="preserve">MANTENIMIENTO   ZONA CONSULTA EXTERNA </t>
  </si>
  <si>
    <t>GUARAMITO</t>
  </si>
  <si>
    <t>NIÑA CECI</t>
  </si>
  <si>
    <t>LOS ALPES</t>
  </si>
  <si>
    <t>OSPINA PEREZ</t>
  </si>
  <si>
    <t>PALMARITO</t>
  </si>
  <si>
    <t>PALMERAS</t>
  </si>
  <si>
    <t>PORTICO</t>
  </si>
  <si>
    <t>RODEO</t>
  </si>
  <si>
    <t>SAN FAUSTINO</t>
  </si>
  <si>
    <t>SAN LUIS</t>
  </si>
  <si>
    <t>SAN MARTIN</t>
  </si>
  <si>
    <t>SANTA ANA</t>
  </si>
  <si>
    <t>SEVILLA</t>
  </si>
  <si>
    <t>Nota: Se proyecta el mantenimiento en todas las IPS en espera que durante el transcurso del año se legalicen los documentos de propiedad de los centros de Salud a nombre de la ESE IMSALUD,sin embargo, si la Empresa continua prestando el servicio al usuario le obliga cumplir con el mantenimiento de la IPS por Resolucion 1441 emanada del Ministerio de la proteccion Social.</t>
  </si>
  <si>
    <t>TOTAL/ IPS</t>
  </si>
  <si>
    <t>MATERIALES</t>
  </si>
  <si>
    <t>BREAKER</t>
  </si>
  <si>
    <t>GRAN   TOTAL</t>
  </si>
  <si>
    <t>MATERIALES 70%</t>
  </si>
  <si>
    <t>COMPRESOR</t>
  </si>
  <si>
    <t>IVA. 16%</t>
  </si>
  <si>
    <t>NEBULIZA DORES</t>
  </si>
  <si>
    <t>TENSIO  METROS</t>
  </si>
  <si>
    <t>EQUIPOS DE ORGANOS</t>
  </si>
  <si>
    <t>PESA BEBE</t>
  </si>
  <si>
    <t>PESO TIPO ROMANO</t>
  </si>
  <si>
    <t>PESO TIPO DE PISO</t>
  </si>
  <si>
    <t>DOPPLER FETAL</t>
  </si>
  <si>
    <t>HORNO ESTERILIZA DOR</t>
  </si>
  <si>
    <t>FONENDOSCOPIO</t>
  </si>
  <si>
    <t>DESFIBRILA DOR</t>
  </si>
  <si>
    <t>LARINGOS COPIO</t>
  </si>
  <si>
    <t>OLLA ESTERILIZADORA</t>
  </si>
  <si>
    <t>SUCCIONA DORES</t>
  </si>
  <si>
    <t>ESCRITORIOS</t>
  </si>
  <si>
    <t>ARCHIVADORES</t>
  </si>
  <si>
    <t>CAMILLAS GINECOLOGICAS</t>
  </si>
  <si>
    <t>DIVAN</t>
  </si>
  <si>
    <t>CAMAS  OBSERVACION Y HOSPITALARIA</t>
  </si>
  <si>
    <t>TANDEMS</t>
  </si>
  <si>
    <t>CAMILLA PARTOS</t>
  </si>
  <si>
    <t>CAMILLAS DE TRASLADO DE PACIENTES</t>
  </si>
  <si>
    <t>OTROS (mesa de noche, atriles,mesas de mayo, mesas de curaciones,etc,)</t>
  </si>
  <si>
    <t>VALOR/IPS</t>
  </si>
  <si>
    <t xml:space="preserve">LAMINAS </t>
  </si>
  <si>
    <t>CIELO RASO</t>
  </si>
  <si>
    <t>CIELO RASO Y/O MUROS</t>
  </si>
  <si>
    <t>TUBERIAS</t>
  </si>
  <si>
    <t>APARATOS SANITARIOS ORINAL/SANITARIO</t>
  </si>
  <si>
    <t>GRIFERIA</t>
  </si>
  <si>
    <t xml:space="preserve">GRIFERIA </t>
  </si>
  <si>
    <t>MEZCLA</t>
  </si>
  <si>
    <t>ACCESORIOS</t>
  </si>
  <si>
    <t>CERRADURAS</t>
  </si>
  <si>
    <t>MOTOBOMBAS</t>
  </si>
  <si>
    <t xml:space="preserve">DIAFRAGMAS </t>
  </si>
  <si>
    <t>PRESOSTATOS</t>
  </si>
  <si>
    <t>TANQUES PARA HIDRO CON DIAFRAGMA</t>
  </si>
  <si>
    <t xml:space="preserve">TUBERIA AGUA LIMPIA GALVANIZADA Y ACCESORIOS </t>
  </si>
  <si>
    <t xml:space="preserve">TUBERIA AGUA LIMPIA PVC Y ACCESO RIOS </t>
  </si>
  <si>
    <t>VALVULAS DE PIE</t>
  </si>
  <si>
    <t>ENERO</t>
  </si>
  <si>
    <t>FEBRERO</t>
  </si>
  <si>
    <t>MARZO</t>
  </si>
  <si>
    <t>ABRIL</t>
  </si>
  <si>
    <t>MAYO</t>
  </si>
  <si>
    <t>JUNIO</t>
  </si>
  <si>
    <t>JULIO</t>
  </si>
  <si>
    <t xml:space="preserve">AGOSTO </t>
  </si>
  <si>
    <t>SEPTIEMBRE</t>
  </si>
  <si>
    <t>OCTUBRE</t>
  </si>
  <si>
    <t xml:space="preserve">NOVIEMBRE </t>
  </si>
  <si>
    <t xml:space="preserve"> DICIEMBRE</t>
  </si>
  <si>
    <t>LAVADO</t>
  </si>
  <si>
    <t>SINCRONIZACION</t>
  </si>
  <si>
    <t>EVENTUALIDAD</t>
  </si>
  <si>
    <t>LATONERIA</t>
  </si>
  <si>
    <t>AMBULANCIA  OWN   261</t>
  </si>
  <si>
    <t>AMBULANCIA  OWN   294</t>
  </si>
  <si>
    <t>AMBULANCIA  OWN   296</t>
  </si>
  <si>
    <t>AMBULANCIA OXO 124</t>
  </si>
  <si>
    <t>AMBULANCIA  OWN   257</t>
  </si>
  <si>
    <t>VEHICULO  OWN  263</t>
  </si>
  <si>
    <t>VEHICULO  OWN   259</t>
  </si>
  <si>
    <t>VEHICULO OWN  213</t>
  </si>
  <si>
    <t>VEHICULO  OWN  260</t>
  </si>
  <si>
    <t>VEHICULO  OWN   256</t>
  </si>
  <si>
    <t>VEHICULO MOVIL  OWN 258</t>
  </si>
  <si>
    <t>VEHICULO  OWN   208</t>
  </si>
  <si>
    <t>VEHICULO TROOPER  OWN  082</t>
  </si>
  <si>
    <t>VEHICULO HILUX   OWN   196</t>
  </si>
  <si>
    <t>VEHICULO  OWN 212</t>
  </si>
  <si>
    <t>VEHICULO TERRACAN  OWN 262</t>
  </si>
  <si>
    <t>VEHICULO MITSUBISHI OWN  214</t>
  </si>
  <si>
    <t>MOTO KVG33B</t>
  </si>
  <si>
    <t>AMBULANCIA NUEVA</t>
  </si>
  <si>
    <t>VEHICULO NUEVO</t>
  </si>
  <si>
    <t>MOTO NUEVA</t>
  </si>
  <si>
    <t>MANO DE OBRA</t>
  </si>
  <si>
    <t>PIEZAS DE MANO ALTA VELOCIDAD</t>
  </si>
  <si>
    <t>PIEZA DE MANO BAJA VELOCIDAD</t>
  </si>
  <si>
    <t>UNIDAD ODONTOLOGICA</t>
  </si>
  <si>
    <t>COMPRESORES</t>
  </si>
  <si>
    <t>LAMPARA FOTOCURADO</t>
  </si>
  <si>
    <t>CAVITRON</t>
  </si>
  <si>
    <t>ANALGAMADOR</t>
  </si>
  <si>
    <t>ESTERILIZADORES</t>
  </si>
  <si>
    <t>CENTRIFUGA</t>
  </si>
  <si>
    <t>MICROCENTRIFUGA</t>
  </si>
  <si>
    <t>PIANO CONTADOR DE CELULAS</t>
  </si>
  <si>
    <t>QUIMICA SANGUINEA RA-50</t>
  </si>
  <si>
    <t>QUIMICA SANGUINEA SPECTRONIC 20</t>
  </si>
  <si>
    <t>TIMER RELOJ</t>
  </si>
  <si>
    <t>MICROPIPETA</t>
  </si>
  <si>
    <t>AGITADOR MAZINI</t>
  </si>
  <si>
    <t>LAMPARA DE HEMOCLASIFICACION</t>
  </si>
  <si>
    <t>MICROSCOPIO</t>
  </si>
  <si>
    <t>HORNO ESTERELIZADOR</t>
  </si>
  <si>
    <t xml:space="preserve"> U. B. LOMA DE BOLIVAR</t>
  </si>
  <si>
    <t>CUADRO  DE  COSTOS</t>
  </si>
  <si>
    <t>MAQUINA DE ANESTE CIA</t>
  </si>
  <si>
    <t>ASPIRADOR</t>
  </si>
  <si>
    <t>ELECTRO BISTURI</t>
  </si>
  <si>
    <t>LAMPARA  CIELITICASAUXILIARES</t>
  </si>
  <si>
    <t xml:space="preserve">LAMPARA CIELITICA </t>
  </si>
  <si>
    <t>U.B. LIBERTAD</t>
  </si>
  <si>
    <t>OXIMETRO</t>
  </si>
  <si>
    <t>RX PORTATIL</t>
  </si>
  <si>
    <t>RX FIJO</t>
  </si>
  <si>
    <t>LAVADORAS</t>
  </si>
  <si>
    <t>SECADORAS</t>
  </si>
  <si>
    <t>AUTOCLAVES</t>
  </si>
  <si>
    <t xml:space="preserve">AGUA CLARA </t>
  </si>
  <si>
    <t xml:space="preserve"> U. B.  LIBERTAD</t>
  </si>
  <si>
    <t>MANTENIMIENTO DE EQUIPO DE CÓMPUTO E IMPRESORA Y REPUESTOS PARA REPOTENCIAR COMPUTADORES</t>
  </si>
  <si>
    <t>MANTENIMIENTO PAGINA WEB</t>
  </si>
  <si>
    <t>MANTENIMIENTO SOFTWARE</t>
  </si>
  <si>
    <t>MANTENIMIENTO A LA TNS</t>
  </si>
  <si>
    <t>REPUESTOS, TONER</t>
  </si>
  <si>
    <t>MANTEMTO PREVEN. CORRECTIV</t>
  </si>
  <si>
    <t>SEDE ADTIVA E IPS</t>
  </si>
  <si>
    <t>VR. TOTAL                                (MATERIALES)</t>
  </si>
  <si>
    <t xml:space="preserve">TOTAL PROYECCION </t>
  </si>
  <si>
    <t>ESE IMSALUD</t>
  </si>
  <si>
    <t>DOTACION DE PERSONAL ADMINISTRATIVO</t>
  </si>
  <si>
    <t>DOTACION DE PERSONAL OPERATIVO</t>
  </si>
  <si>
    <t>PRESENT.</t>
  </si>
  <si>
    <t>CANT. EN UNIDADES</t>
  </si>
  <si>
    <t>ADRENALINA</t>
  </si>
  <si>
    <t>AMPOLLAS</t>
  </si>
  <si>
    <t>ACETAMINOFEN SOLUCION ORAL 100MG/ML</t>
  </si>
  <si>
    <t>GOTAS</t>
  </si>
  <si>
    <t>ACETAMINOFEN JARABE 150 MG/5 ML</t>
  </si>
  <si>
    <t>FRASCO</t>
  </si>
  <si>
    <t>ACETAMINOFEN * 500MG</t>
  </si>
  <si>
    <t>TABLETAS</t>
  </si>
  <si>
    <t>ACETATO DE ALUMINIO SOBRE</t>
  </si>
  <si>
    <t>CAJA X 25</t>
  </si>
  <si>
    <t xml:space="preserve">AMIODARONA </t>
  </si>
  <si>
    <t>CAPSULAS</t>
  </si>
  <si>
    <t xml:space="preserve">AMOXICILINA 125MG </t>
  </si>
  <si>
    <t>AMOXICILINA 250MG/5ML</t>
  </si>
  <si>
    <t>SUSPENSION ORAL</t>
  </si>
  <si>
    <t>AMOXICILINA SUSPENSION X 125MG</t>
  </si>
  <si>
    <t>SUSPENSION X 60ML</t>
  </si>
  <si>
    <t>ACIDO ACETIL SALICILICO</t>
  </si>
  <si>
    <t>AMITRIPTILINA 25MG</t>
  </si>
  <si>
    <t>AMINOFILINA SOLUCION INYECTABLE</t>
  </si>
  <si>
    <t>ALACRAMYN</t>
  </si>
  <si>
    <t>ALQUITRAN DE HULLA + ALANTOINA</t>
  </si>
  <si>
    <t>LOCION</t>
  </si>
  <si>
    <t>AMLODIPINO 1MG</t>
  </si>
  <si>
    <t>AMPICILINA 500MG</t>
  </si>
  <si>
    <t>AMPICILINA 250MG/5ML</t>
  </si>
  <si>
    <t>AMIODARONA 150MG</t>
  </si>
  <si>
    <t>AMPICILINA X 1 GR.</t>
  </si>
  <si>
    <t>ASCORBICO ACIDO 500MG</t>
  </si>
  <si>
    <t>ASCORBICO ACIDO 100MG/ML</t>
  </si>
  <si>
    <t>ALBENDAZOL SUSPENSION ORAL</t>
  </si>
  <si>
    <t>100 MG/5ML</t>
  </si>
  <si>
    <t>ALBENDAZOL 200MG</t>
  </si>
  <si>
    <t>TABLETA</t>
  </si>
  <si>
    <t>ALUMINIO HIDROXIDO + MAGNESIO HIDRO</t>
  </si>
  <si>
    <t>SUSPENSIÓN</t>
  </si>
  <si>
    <t>ACIDO VALPROICO 250MG</t>
  </si>
  <si>
    <t xml:space="preserve">ACIDO VALPROICO </t>
  </si>
  <si>
    <t>JARABE</t>
  </si>
  <si>
    <t>ACICLOVIR 200MG OFTALMICO</t>
  </si>
  <si>
    <t>UNGÜENTO</t>
  </si>
  <si>
    <t>ATROPINA SULFATO 1MG/1ML</t>
  </si>
  <si>
    <t>BERODUAL PARA NEBULIZAR 20ML</t>
  </si>
  <si>
    <t>BECLOMETASONA DIPROPINATO</t>
  </si>
  <si>
    <t>INHALADOR</t>
  </si>
  <si>
    <t>BETAMETASONA CREMA</t>
  </si>
  <si>
    <t>BETAMETASONA X 8MG</t>
  </si>
  <si>
    <t>BICARBONATO DE SODIO X 10ML</t>
  </si>
  <si>
    <t>BIPERIDENO 2 MG</t>
  </si>
  <si>
    <t>BISACODILO 5 MG</t>
  </si>
  <si>
    <t>CAFEINA+ERGOTADINA TABLETAS</t>
  </si>
  <si>
    <t xml:space="preserve">CARBAMAZEPINA 200MG </t>
  </si>
  <si>
    <t>CAPTOPRIL TABLETAS X 25MG</t>
  </si>
  <si>
    <t>CAPTOPRIL TABLETAS X 50MG</t>
  </si>
  <si>
    <t>CEFALOTINA POLVO RECONS</t>
  </si>
  <si>
    <t>CEFALEXINA 500MG</t>
  </si>
  <si>
    <t>CEFALEXINA SUSPENSIÓN 250MG</t>
  </si>
  <si>
    <t>CAFRADINA 500MG</t>
  </si>
  <si>
    <t>CIANOCOBALAMINA (VITAMINA B 12)</t>
  </si>
  <si>
    <t xml:space="preserve">CIPROFLOXACINO 500MG </t>
  </si>
  <si>
    <t>CLORURO DE SODIO NATROL</t>
  </si>
  <si>
    <t>CLORURO DE POTASIO X 10ML</t>
  </si>
  <si>
    <t>CLORFENIRAMINA 4MG</t>
  </si>
  <si>
    <t>CLORFENIRAMINA 2MG/5ML</t>
  </si>
  <si>
    <t>COLIS+CORTICO+NEOMIC OPTICA</t>
  </si>
  <si>
    <t>CLOTRIMAZOL  10MG/ML</t>
  </si>
  <si>
    <t>SOLUCION TOPICA</t>
  </si>
  <si>
    <t>CLOTRIMAZOL  VAGINAL</t>
  </si>
  <si>
    <t>CREMA X 40 GMS</t>
  </si>
  <si>
    <t>CLOTRIMAZOL OVULOS</t>
  </si>
  <si>
    <t>TABLETAS VAGINALES</t>
  </si>
  <si>
    <t>CLOTRIMAZOL CREMA TOPICA</t>
  </si>
  <si>
    <t>CROMOGLICATO DE SODIO OFTALMICA</t>
  </si>
  <si>
    <t>CROMOGLICATO DE SODIO NASAL</t>
  </si>
  <si>
    <t>CROTAMITON 10%</t>
  </si>
  <si>
    <t>DEPOPROVERA AMPOLLAS</t>
  </si>
  <si>
    <t>DEXAMETASONA 4MG</t>
  </si>
  <si>
    <t>DEXAMETASONA 8 MG</t>
  </si>
  <si>
    <t>DEXTROSA 10% SOLUCION SALIN</t>
  </si>
  <si>
    <t>DEXTROSA AL 5%</t>
  </si>
  <si>
    <t>BOLSA X 500ML</t>
  </si>
  <si>
    <t xml:space="preserve">DIHIDROERGOTOXINA  </t>
  </si>
  <si>
    <t>DIAZEPAM  10MG/2ML</t>
  </si>
  <si>
    <t>DICLOFENACO</t>
  </si>
  <si>
    <t>DICLOXACILINA 250MG</t>
  </si>
  <si>
    <t>DICLOXACILINA 500MG</t>
  </si>
  <si>
    <t>DIFENHIDRAMINA 12,5ML/5ML</t>
  </si>
  <si>
    <t>DIHIDROCODEINA BITARTRATO 2,42MG</t>
  </si>
  <si>
    <t>DIFENHIDRAMINA</t>
  </si>
  <si>
    <t>DINITRATO DE ISOSORBIDA X 5MG</t>
  </si>
  <si>
    <t>DIPIRONA X 1MG/5ML</t>
  </si>
  <si>
    <t>DIPIRONA X 2,5MG / 5ML</t>
  </si>
  <si>
    <t xml:space="preserve">BETAMETILDIGOXINA </t>
  </si>
  <si>
    <t>TAB</t>
  </si>
  <si>
    <t>DOPAMINA X 200MG</t>
  </si>
  <si>
    <t>DOXICICLINA</t>
  </si>
  <si>
    <t>ERGOTAMINA+CAFEINA (FENCAFEN)</t>
  </si>
  <si>
    <t>ERITROMICINA (ETILSUCCINATO)</t>
  </si>
  <si>
    <t>ESPIRONOLACTONA 25 MG</t>
  </si>
  <si>
    <t>CAJA X 20 TABLETAS</t>
  </si>
  <si>
    <t>ESTROGENOS CONJUGADOS 0,625MG</t>
  </si>
  <si>
    <t>ENEMA TRAVAD ORAL</t>
  </si>
  <si>
    <t>ENEMA TRAVAD RECTAL</t>
  </si>
  <si>
    <t>ENEMA</t>
  </si>
  <si>
    <t>FENITODINA INYECTABLE 100MG</t>
  </si>
  <si>
    <t>FENITODINA SODICA 250MG</t>
  </si>
  <si>
    <t>FENITODINA SODICA 100MG</t>
  </si>
  <si>
    <t>FENOBARBITAL 100MG</t>
  </si>
  <si>
    <t>FENOBARBITAL SOLUCION INYECTABLE 40MG</t>
  </si>
  <si>
    <t>AMPOLLA</t>
  </si>
  <si>
    <t>FENOBARBITAL SOLUCION INYECTABLE 200MG</t>
  </si>
  <si>
    <t>FENTANILO CITRATO SOLUCION</t>
  </si>
  <si>
    <t>FLUMICIL SLN NEBULI</t>
  </si>
  <si>
    <t>FLUCONAZOL 200MG</t>
  </si>
  <si>
    <t>FURACIN POMADA</t>
  </si>
  <si>
    <t>FURAZOLIDONASUSPENSION</t>
  </si>
  <si>
    <t>FUROSEMIDA 20MG</t>
  </si>
  <si>
    <t>GEMFIBROZILO 600MG</t>
  </si>
  <si>
    <t>GENTAMICINA X 160MG</t>
  </si>
  <si>
    <t>GENTAMICINA X 80MG /2ML</t>
  </si>
  <si>
    <t>GENTAMICINA X 40MG /2ML</t>
  </si>
  <si>
    <t>GENTAMICINA x 3MG</t>
  </si>
  <si>
    <t>GLIBENCLAMIDA X 5MG</t>
  </si>
  <si>
    <t>HEPARINA SODICA X 500 UI</t>
  </si>
  <si>
    <t>HIDROCORTIZONA 100MG</t>
  </si>
  <si>
    <t>HIOSCINA N- BUTIL 10MG/ML</t>
  </si>
  <si>
    <t>HIOSCINA N- BUTIL 30MG</t>
  </si>
  <si>
    <t>HIOSCINA N- BUTIL + DIPRONA</t>
  </si>
  <si>
    <t>IPRATROPIO BROMURO 0,02MG/DOSIS</t>
  </si>
  <si>
    <t>AEROSOL</t>
  </si>
  <si>
    <t>ISOSORBIDE SUBLINGUAL (ISOCORD) 5MG</t>
  </si>
  <si>
    <t>ISOSORBIDE SUBLINGUAL (ISOCORD) 10MG</t>
  </si>
  <si>
    <t xml:space="preserve">LANITOP </t>
  </si>
  <si>
    <t>LORATADINA 5MG/5ML</t>
  </si>
  <si>
    <t>LORATADINA 10MG</t>
  </si>
  <si>
    <t>LOSARTAN X 50MG</t>
  </si>
  <si>
    <t>LOSARTAN X 100MG</t>
  </si>
  <si>
    <t>LOVASTATINA X 20MG</t>
  </si>
  <si>
    <t>MEBENDAZOL</t>
  </si>
  <si>
    <t>MEPERIDINA CLORHIDRATO SOLUCION</t>
  </si>
  <si>
    <t>MTEHERGYN 0,2 ML</t>
  </si>
  <si>
    <t>SOLUCION INYECT,</t>
  </si>
  <si>
    <t>METOCARBAMOL 1MG/10ML</t>
  </si>
  <si>
    <t>METOCARBAMOL X 750MG</t>
  </si>
  <si>
    <t>METOCLOPRAMIDA 10ML</t>
  </si>
  <si>
    <t>METOCLOPRAMINA AMPOLLA</t>
  </si>
  <si>
    <t>CAJA X 100 AMP</t>
  </si>
  <si>
    <t>METOCLOPRAMIDA 10MG</t>
  </si>
  <si>
    <t xml:space="preserve">TABLETAS </t>
  </si>
  <si>
    <t>METOPROLOL 1MG/ML</t>
  </si>
  <si>
    <t>METOPROLOL  OVULOS VAGINALES</t>
  </si>
  <si>
    <t xml:space="preserve">METRONIDAZOL 500MG </t>
  </si>
  <si>
    <t>METRONIDAZOL 500MG OVULO</t>
  </si>
  <si>
    <t>METRONIDAZOL SUSP. ORAL X 125MG</t>
  </si>
  <si>
    <t>METRONIDAZOL SUSP X 250MG</t>
  </si>
  <si>
    <t>MIDAZOLAM (DORMICUM)</t>
  </si>
  <si>
    <t>MORFINA SOLUCION INYECTABLE</t>
  </si>
  <si>
    <t>NAPROXENO SUSPPENCION ORAL</t>
  </si>
  <si>
    <t>NAPROXENOX 250MG</t>
  </si>
  <si>
    <t>NIFEDIPINO  X 30MG</t>
  </si>
  <si>
    <t>NIFEDIPINO/BLISTER X 10MG</t>
  </si>
  <si>
    <t xml:space="preserve">NIMODIPINO 30MG </t>
  </si>
  <si>
    <t>NISTATINA CREMA</t>
  </si>
  <si>
    <t>TUBO</t>
  </si>
  <si>
    <t>NISTATINA SUSPENSION 60ML</t>
  </si>
  <si>
    <t>NITROFURAZONA (FURACIN) 40MG</t>
  </si>
  <si>
    <t>NITROFURANTODINA 100MG</t>
  </si>
  <si>
    <t xml:space="preserve">NORFLOXACINO 400MG </t>
  </si>
  <si>
    <t>NORCORUM AMPOLLAS</t>
  </si>
  <si>
    <t>OXACILINA  X 1 GM</t>
  </si>
  <si>
    <t>OXIMETASOLINA 0.25MG/ML GOTAS</t>
  </si>
  <si>
    <t>OXITOCINA AMPOLLAS</t>
  </si>
  <si>
    <t>OMEPRAZOL X 20MG</t>
  </si>
  <si>
    <t>PENICILINA X 800,000 U.I</t>
  </si>
  <si>
    <t>PENICILINA X 1.000.000 SODICA</t>
  </si>
  <si>
    <t>PENICILINA X 1.200.000 BENZATINICA</t>
  </si>
  <si>
    <t>PENICILINA X 2.400.000 BENZATINICA</t>
  </si>
  <si>
    <t>PENICILINA X 5.000.000 SODICA</t>
  </si>
  <si>
    <t>PREDNISOLONA X 5MG</t>
  </si>
  <si>
    <t>PAOMATO DE PIRANTEL250MG/5ML</t>
  </si>
  <si>
    <t>PROXIMETACAINA GOTAS (ALCAINE)</t>
  </si>
  <si>
    <t>RANITIDINA 50MG/2ML</t>
  </si>
  <si>
    <t>RANITIDINA 150MG</t>
  </si>
  <si>
    <t>ROXICAINA 2%/30ML</t>
  </si>
  <si>
    <t>JALEA</t>
  </si>
  <si>
    <t>ROXICAINA 2% SIMPLE X 50ML</t>
  </si>
  <si>
    <t xml:space="preserve">AMPOLLA </t>
  </si>
  <si>
    <t>SALBUTAMOL SULFATO INHALADOR</t>
  </si>
  <si>
    <t>SALBUTAMOL (SULFATO)JARABE</t>
  </si>
  <si>
    <t>SOLUCORTEF X mg</t>
  </si>
  <si>
    <t xml:space="preserve">SULFATO FERROSO </t>
  </si>
  <si>
    <t>SUCRALFATO 1MG/ML</t>
  </si>
  <si>
    <t>SUERO ANTIOFIDICO POLIVALENTE</t>
  </si>
  <si>
    <t>SULFADIAZIDA DE PLATA</t>
  </si>
  <si>
    <t>SULFATO DE MAGNESIO</t>
  </si>
  <si>
    <t>TIAMINA 300MG</t>
  </si>
  <si>
    <t>TIAMINA 100MG/ML</t>
  </si>
  <si>
    <t>TINIDAZOL 500MG</t>
  </si>
  <si>
    <t>TINIDAZOL SUSPENSION 15ML</t>
  </si>
  <si>
    <t>TOXOIDE TETANICO 5ML</t>
  </si>
  <si>
    <t xml:space="preserve">TECLOZAN  </t>
  </si>
  <si>
    <t>TERBUROT 0,5MG/ML</t>
  </si>
  <si>
    <t>TERBUROT SOL/ NEBULIZAR</t>
  </si>
  <si>
    <t xml:space="preserve">TRAMADOL </t>
  </si>
  <si>
    <t>TRAMADOL 50MG INYECTABLE</t>
  </si>
  <si>
    <t>TRAMADOL 100MG/2ML</t>
  </si>
  <si>
    <t>TRIMETROPIN + SULFAMETOXASOL</t>
  </si>
  <si>
    <t>TRIMETROPIN + SULFAMETOXASOL SIMPLE</t>
  </si>
  <si>
    <t>SOLUCION HARMAT</t>
  </si>
  <si>
    <t>BOLSA</t>
  </si>
  <si>
    <t>SOLUCION SALINA 0,90%</t>
  </si>
  <si>
    <t>VITAMINA A X 5000 UI</t>
  </si>
  <si>
    <t>VITAMINA K</t>
  </si>
  <si>
    <t>VASELINA PURA</t>
  </si>
  <si>
    <t>TARRO X 500 gr</t>
  </si>
  <si>
    <t>VASOPRESINA TANATO</t>
  </si>
  <si>
    <t>VENTILAN 5 mg SLN NEBULIZAR</t>
  </si>
  <si>
    <t>YODOPUVIDONA 120ML</t>
  </si>
  <si>
    <t>ELEMENTO</t>
  </si>
  <si>
    <t>AGUA ESTERIL INYECCIÓN</t>
  </si>
  <si>
    <t>AGUJA HIPODERMICA.  21 X 1 1/2</t>
  </si>
  <si>
    <t>RYMCO</t>
  </si>
  <si>
    <t>CAJA X 100</t>
  </si>
  <si>
    <t>AGUJA HIPODERMICA.  23 X 1</t>
  </si>
  <si>
    <t>AGUJA HIPODERMICA.  26. X 1 1/2</t>
  </si>
  <si>
    <t>AGUJA HIPODERMICA. 19 X 1</t>
  </si>
  <si>
    <t>AGUJA HIPODERMICA. 20 X 1</t>
  </si>
  <si>
    <t>AGUJA HIPODERMICA. 21 X 1</t>
  </si>
  <si>
    <t>AGUJAS SUTURA # 10</t>
  </si>
  <si>
    <t>ACUFIRM</t>
  </si>
  <si>
    <t>AGUJAS SUTURA # 12</t>
  </si>
  <si>
    <t>AGUJAS SUTURA # 15</t>
  </si>
  <si>
    <t>AGUJAS SUTURA # 16</t>
  </si>
  <si>
    <t>AGUJAS SUTURA # 18</t>
  </si>
  <si>
    <t>AGUJAS SUTURA # 20</t>
  </si>
  <si>
    <t>AGUJAS SUTURA # 22</t>
  </si>
  <si>
    <t>ALCOHOL</t>
  </si>
  <si>
    <t>ALFA</t>
  </si>
  <si>
    <t>GARRAFA</t>
  </si>
  <si>
    <t>ALGODÓN HOSPITALARIO X TORUNDAS</t>
  </si>
  <si>
    <t>SUAVEX</t>
  </si>
  <si>
    <t>ALGODÓN HOSPITALARIO X ROLLO</t>
  </si>
  <si>
    <t>APLICADORES DE ALGODÓN</t>
  </si>
  <si>
    <t>PRODEMA</t>
  </si>
  <si>
    <t>BOLSA X 100</t>
  </si>
  <si>
    <t>APOSITO OCULAR</t>
  </si>
  <si>
    <t>SURGIPAD</t>
  </si>
  <si>
    <t>BAJALENGUAS</t>
  </si>
  <si>
    <t>PAQUETE X 20</t>
  </si>
  <si>
    <t>BURETROL</t>
  </si>
  <si>
    <t>CANULA NASAL ADULTO</t>
  </si>
  <si>
    <t>BIOLIFE</t>
  </si>
  <si>
    <t>UNIDADES</t>
  </si>
  <si>
    <t>CANULA DE GUEDEL N°1</t>
  </si>
  <si>
    <t>MEDEX</t>
  </si>
  <si>
    <t>CANULA DE GUEDEL N°2</t>
  </si>
  <si>
    <t>CANULA DE GUEDEL N°3</t>
  </si>
  <si>
    <t>CANULA DE GUEDEL N°4</t>
  </si>
  <si>
    <t>CANULA DE GUEDEL N°5</t>
  </si>
  <si>
    <t>CANULA DE GUEDEL N°6</t>
  </si>
  <si>
    <t>CANULA NASAL PEDIATR.</t>
  </si>
  <si>
    <t>CATETER JELCO. Nº 14</t>
  </si>
  <si>
    <t>TERUMO</t>
  </si>
  <si>
    <t>CATETER JELCO. Nº 16</t>
  </si>
  <si>
    <t>CATETER JELCO. Nº 18</t>
  </si>
  <si>
    <t>CATETER JELCO. Nº 20</t>
  </si>
  <si>
    <t>CATETER JELCO. Nº 22</t>
  </si>
  <si>
    <t>CATETER JELCO. Nº 24</t>
  </si>
  <si>
    <t>CATETER HEPARINIZADO</t>
  </si>
  <si>
    <t>CATGUT CROMADO 2/0</t>
  </si>
  <si>
    <t>CATGUT CROMADO 3/0</t>
  </si>
  <si>
    <t>CATGUT CROMADO 4/0</t>
  </si>
  <si>
    <t>CATGUT CROMADO 5/0</t>
  </si>
  <si>
    <t>CAJA X24</t>
  </si>
  <si>
    <t>CATGUT CROMADO 6/0</t>
  </si>
  <si>
    <t>CINTA TESTIGO</t>
  </si>
  <si>
    <t>3M</t>
  </si>
  <si>
    <t>CITOFIJADOR</t>
  </si>
  <si>
    <t>CYSTOFLO</t>
  </si>
  <si>
    <t>BAXTER</t>
  </si>
  <si>
    <t>COMBITUBE 7</t>
  </si>
  <si>
    <t>KIT</t>
  </si>
  <si>
    <t>DEXTROSA 5% AGUA DESTILADA</t>
  </si>
  <si>
    <t>MASTERMEDICAL</t>
  </si>
  <si>
    <t>ELECTRODOS</t>
  </si>
  <si>
    <t>EQUIPO MACROGOTEO</t>
  </si>
  <si>
    <t>EQUIPO MICROGOTEO</t>
  </si>
  <si>
    <t>EQUIPO DE VENTURI ADULTO</t>
  </si>
  <si>
    <t>EQUIPO DE VENTURI PEDIATRICO</t>
  </si>
  <si>
    <t>ESPARADRAPO HOSPITALARIO</t>
  </si>
  <si>
    <t>TUBO X 5UND</t>
  </si>
  <si>
    <t>ESPECULO DESECHABLE</t>
  </si>
  <si>
    <t>ETHILON 2/0</t>
  </si>
  <si>
    <t>CAJA X 24</t>
  </si>
  <si>
    <t>ETHILON 3/0</t>
  </si>
  <si>
    <t>ETHILON 4/0</t>
  </si>
  <si>
    <t>ETHILON 5/0</t>
  </si>
  <si>
    <t>ETHILON 6/0</t>
  </si>
  <si>
    <t>FIJADOR AUTOMATICO RX</t>
  </si>
  <si>
    <t>KODAX</t>
  </si>
  <si>
    <t>CAJA X 10 GL</t>
  </si>
  <si>
    <t>GASA HOSPITALARIA</t>
  </si>
  <si>
    <t>GORROS DESECHABLES</t>
  </si>
  <si>
    <t>GUANTES TALLA L</t>
  </si>
  <si>
    <t>GUANTES TALLA M</t>
  </si>
  <si>
    <t>GUANTES TALLA S</t>
  </si>
  <si>
    <t>GUANTES ESTERILES No. 5.6</t>
  </si>
  <si>
    <t xml:space="preserve">CAJA X 50 </t>
  </si>
  <si>
    <t>GUANTES ESTERILES No. 7.0</t>
  </si>
  <si>
    <t>GUANTES ESTERILES No. 7.5</t>
  </si>
  <si>
    <t>GUANTES ESTERILES No. 8.0</t>
  </si>
  <si>
    <t>GUIA ENTUBACION ADULTO</t>
  </si>
  <si>
    <t>GUIA ENTUBACION PEDIATRICA</t>
  </si>
  <si>
    <t>HOJAS DE BISTURI Nº 11</t>
  </si>
  <si>
    <t>HOJAS DE BISTURI Nº 15</t>
  </si>
  <si>
    <t>HOJAS DE BISTURI Nº 20</t>
  </si>
  <si>
    <t>HUMIDIFICADORES</t>
  </si>
  <si>
    <t>JERINGA X 1 ML # 23</t>
  </si>
  <si>
    <t>JERINGA X 1 CC # 25</t>
  </si>
  <si>
    <t>JERINGA X 1 CC # 26</t>
  </si>
  <si>
    <t>JERINGA X 10 CC</t>
  </si>
  <si>
    <t>JERINGA X 2 CC</t>
  </si>
  <si>
    <t xml:space="preserve">CAJA X 100 </t>
  </si>
  <si>
    <t>JERINGA X 50 CC</t>
  </si>
  <si>
    <t>JERINGA X 20 CC</t>
  </si>
  <si>
    <t>JERINGA X 3 CC</t>
  </si>
  <si>
    <t>JERINGA X 5CC</t>
  </si>
  <si>
    <t>KIT TERAPIA RESPIRATORIA</t>
  </si>
  <si>
    <t>KIT MICRONEBULIZADOR ADULTO</t>
  </si>
  <si>
    <t>KIT MICRONEBULIZADOR PEDIATRICO</t>
  </si>
  <si>
    <t>LANCETAS PARA GLUCOMETR.</t>
  </si>
  <si>
    <t>LIQUIDO REVELADOR AUTOMATICO RX</t>
  </si>
  <si>
    <t>LIQUIDO FJADOR AUTOMATICO RX</t>
  </si>
  <si>
    <t>MASCARA NASAL ADULTO CON RESEVORIO</t>
  </si>
  <si>
    <t>MICROPORE 1 PULGADA</t>
  </si>
  <si>
    <t xml:space="preserve">MICROPORE 1/2 PULGADA  </t>
  </si>
  <si>
    <t>PAPEL PARA ESTERILIZAR</t>
  </si>
  <si>
    <t>PARCHE OCULAR</t>
  </si>
  <si>
    <t>CAJAX100</t>
  </si>
  <si>
    <t>PLACA RX10X12</t>
  </si>
  <si>
    <t>KODAK</t>
  </si>
  <si>
    <t xml:space="preserve">CAJA </t>
  </si>
  <si>
    <t>PLACA RX11X14</t>
  </si>
  <si>
    <t>PLACA RX14X14</t>
  </si>
  <si>
    <t>PLACA RX14X17</t>
  </si>
  <si>
    <t>PLACA RX8X10</t>
  </si>
  <si>
    <t>REVELADOR AUTOMATICO</t>
  </si>
  <si>
    <t>AJOVECO</t>
  </si>
  <si>
    <t>CAJA X10 GL</t>
  </si>
  <si>
    <t>SEDA 5/0</t>
  </si>
  <si>
    <t>USP</t>
  </si>
  <si>
    <t>SEDA 2/0</t>
  </si>
  <si>
    <t>SEDA 3/0</t>
  </si>
  <si>
    <t>SEDA 4/0</t>
  </si>
  <si>
    <t xml:space="preserve">SEDA 6/0 </t>
  </si>
  <si>
    <t>SET NEBULIZADOR ADULTO</t>
  </si>
  <si>
    <t>SET NEBULIZADOR PEDIATRICO</t>
  </si>
  <si>
    <t>SOLUCION SALINA 0.9 % X 500ML</t>
  </si>
  <si>
    <t>WRP</t>
  </si>
  <si>
    <t>SOLUCION HARTMAN X 500ML</t>
  </si>
  <si>
    <r>
      <t xml:space="preserve">SONDA FOLEY </t>
    </r>
    <r>
      <rPr>
        <i/>
        <sz val="8"/>
        <color theme="1"/>
        <rFont val="Arial"/>
        <family val="2"/>
      </rPr>
      <t># 8</t>
    </r>
  </si>
  <si>
    <t>SONDA FOLEY # 10</t>
  </si>
  <si>
    <t>SONDA FOLEY # 12</t>
  </si>
  <si>
    <t>SONDA FOLEY # 14</t>
  </si>
  <si>
    <t>SONDA FOLEY # 16</t>
  </si>
  <si>
    <r>
      <t>SONDA FOLEY #</t>
    </r>
    <r>
      <rPr>
        <i/>
        <sz val="8"/>
        <color theme="1"/>
        <rFont val="Arial"/>
        <family val="2"/>
      </rPr>
      <t xml:space="preserve"> 18</t>
    </r>
  </si>
  <si>
    <t>SONDA LEVIN # 18</t>
  </si>
  <si>
    <t>SONDA LEVIN # 16</t>
  </si>
  <si>
    <t>SONDA LEVIN # 14</t>
  </si>
  <si>
    <t>SONDA LEVIN # 12</t>
  </si>
  <si>
    <t>SONDA LEVIN # 10</t>
  </si>
  <si>
    <t>SONDA LEVIN # 8</t>
  </si>
  <si>
    <t>SONDA LEVIN # 6</t>
  </si>
  <si>
    <t>SONDA NELATON # 6</t>
  </si>
  <si>
    <t>SONDA NELATON # 8</t>
  </si>
  <si>
    <t>SONDA NELATON # 10</t>
  </si>
  <si>
    <t>SONDA NELATON # 12</t>
  </si>
  <si>
    <t>SONDA NELATON # 14</t>
  </si>
  <si>
    <t>SONDA NELATON # 16</t>
  </si>
  <si>
    <t>SONDA NELATON # 18</t>
  </si>
  <si>
    <t>TAPABOCAS DESECHABLES</t>
  </si>
  <si>
    <t>CAJAS X 50</t>
  </si>
  <si>
    <t>TERMOMETROS AXILAR</t>
  </si>
  <si>
    <t>TIRAS GLUCOMETRIA</t>
  </si>
  <si>
    <t>TORNIQUETE ADULTO VELCRO</t>
  </si>
  <si>
    <t>NACIONAL</t>
  </si>
  <si>
    <t>TORNIQUETE PEDIAT. VELCRO</t>
  </si>
  <si>
    <t>TRAMPA PARA TUBO A TORAX</t>
  </si>
  <si>
    <t>TUBO A TORAX</t>
  </si>
  <si>
    <t>TUBO ENDOTRAQUEAL Nº 2</t>
  </si>
  <si>
    <t>NUBENCO</t>
  </si>
  <si>
    <t>TUBO ENDOTRAQUEAL Nº 2 1/2</t>
  </si>
  <si>
    <t xml:space="preserve">TUBO ENDOTRAQUEAL Nº 3 </t>
  </si>
  <si>
    <t>TUBO ENDOTRAQUEAL Nº 3 1/2</t>
  </si>
  <si>
    <t>TUBO ENDOTRAQUEAL Nº 4</t>
  </si>
  <si>
    <t>TUBO ENDOTRAQUEAL Nº 4 1/2</t>
  </si>
  <si>
    <t>TUBO ENDOTRAQUEAL Nº 5</t>
  </si>
  <si>
    <t>TUBO ENDOTRAQUEAL Nº 5 1/2</t>
  </si>
  <si>
    <t>TUBO ENDOTRAQUEAL Nº 6</t>
  </si>
  <si>
    <t>TUBO ENDOTRAQUEAL Nº 6 1/2</t>
  </si>
  <si>
    <t>TUBO ENDOTRAQUEAL Nº 7</t>
  </si>
  <si>
    <t>TUBO ENDOTRAQUEAL Nº 7 1/2</t>
  </si>
  <si>
    <t>TUBO ENDOTRAQUEAL Nº 8</t>
  </si>
  <si>
    <t>TUBO ENDOTRAQUEAL Nº 8 1/2</t>
  </si>
  <si>
    <t>VENDAS ELASTICAS 5X5</t>
  </si>
  <si>
    <t>VENDAS ELASTICAS 6X5</t>
  </si>
  <si>
    <t>VR. UNTI.</t>
  </si>
  <si>
    <t xml:space="preserve">ACEITE PIEZA DE ALTA </t>
  </si>
  <si>
    <t>ACIDO ACONDICIONADOR</t>
  </si>
  <si>
    <t>JERINGA</t>
  </si>
  <si>
    <t>ADHESIVO BONDY</t>
  </si>
  <si>
    <t>AGUA OXIGENADA 120 ML</t>
  </si>
  <si>
    <t>JGB</t>
  </si>
  <si>
    <t>FRASCO 1</t>
  </si>
  <si>
    <t>AGUA DESTILADA</t>
  </si>
  <si>
    <t>AGUJAS LARGAS</t>
  </si>
  <si>
    <t>AGUJAS CORTAS</t>
  </si>
  <si>
    <t>AGUJAS PEQUEÑAS PARA SUTURA SOBRE X 12</t>
  </si>
  <si>
    <t>SOBRE</t>
  </si>
  <si>
    <t>ALAMBRE AUSTRALIANO 0.16</t>
  </si>
  <si>
    <t>ALAMBRE REDONDO CALIBRE 0.16 ACERO</t>
  </si>
  <si>
    <t>ALAMBRE CUADRADO CALIBRE 16 X 16 ACERO</t>
  </si>
  <si>
    <t>ALAMBRE CUADRADO CALIBRE 17 X 22</t>
  </si>
  <si>
    <t>AMALGAMA EN CAPSULA</t>
  </si>
  <si>
    <t>CAPSULA</t>
  </si>
  <si>
    <t>ALCOHOL ANTISEPTICO</t>
  </si>
  <si>
    <t>LITRO</t>
  </si>
  <si>
    <t>GALON</t>
  </si>
  <si>
    <t>ALGODÓN TORUNDAS</t>
  </si>
  <si>
    <t>ALVOGIL (ALVOFAR)</t>
  </si>
  <si>
    <t>SEPTODENT</t>
  </si>
  <si>
    <t>ANESTESICO TOPICO</t>
  </si>
  <si>
    <t>ROXICAINA</t>
  </si>
  <si>
    <t>ARCOS DE NITINOL 0.16 REDONDO</t>
  </si>
  <si>
    <t>ARCOS DE NITINOL 16X10 CUADRADO</t>
  </si>
  <si>
    <t>ARCOS DE NITINOL 17X22 CUADRADO</t>
  </si>
  <si>
    <t>BANDA METALICA DELGADA</t>
  </si>
  <si>
    <t>BOTONES LINGUALES DE CEMENTADO DIRECTO</t>
  </si>
  <si>
    <t>BRACKETS ROTH</t>
  </si>
  <si>
    <t>CASO</t>
  </si>
  <si>
    <t>CEMENTO FOSFATADO</t>
  </si>
  <si>
    <t xml:space="preserve">CEPILLO DE PROFILAXIS </t>
  </si>
  <si>
    <t>CAJA*144</t>
  </si>
  <si>
    <t>CITANEST PRICANEST 3%</t>
  </si>
  <si>
    <t>COLTOSOL</t>
  </si>
  <si>
    <t>CONOS 1 SERIE</t>
  </si>
  <si>
    <t>MAILLEFER</t>
  </si>
  <si>
    <t>ESTUCHE</t>
  </si>
  <si>
    <t>CONOS 2 SERIE</t>
  </si>
  <si>
    <t>CONOS N 15</t>
  </si>
  <si>
    <t>CUÑAS DE MADERA</t>
  </si>
  <si>
    <t>DENTOPARXIL (DENTOFAR)</t>
  </si>
  <si>
    <t>DESMINERALIZANTE</t>
  </si>
  <si>
    <t>DISCO SOFLEX</t>
  </si>
  <si>
    <t xml:space="preserve">DYCAL LIFE </t>
  </si>
  <si>
    <t>KERR</t>
  </si>
  <si>
    <t>ELASTICOS INTERMAXILARES TAMAÑO 1/4</t>
  </si>
  <si>
    <t>ELASTICOS INTERMAXILARES TAMAÑO 1/8</t>
  </si>
  <si>
    <t>ELASTICOS INTERMAXILARES TAMAÑO 3/16</t>
  </si>
  <si>
    <t>ESPEJOS BUCALES</t>
  </si>
  <si>
    <t>EUGENOL</t>
  </si>
  <si>
    <t>EYECTORES</t>
  </si>
  <si>
    <t>FLUOR GEL X 500ML</t>
  </si>
  <si>
    <t xml:space="preserve">TARRO </t>
  </si>
  <si>
    <t>FIJADOR</t>
  </si>
  <si>
    <t>BOTELLA</t>
  </si>
  <si>
    <t>FOSFATO DE ZINC POLVO - LIQUIDO</t>
  </si>
  <si>
    <t>LEE-SMITH</t>
  </si>
  <si>
    <t>CAJA          polvo/liquida</t>
  </si>
  <si>
    <t>FRESAS CILINDRICAS</t>
  </si>
  <si>
    <t>FRESAS CILINDRICAS PEQUEÑAS</t>
  </si>
  <si>
    <t>FRESAS EN LLAMA</t>
  </si>
  <si>
    <t>FRESAS PULIR RESINAS</t>
  </si>
  <si>
    <t>FRESAS REDONDAS GRANDES</t>
  </si>
  <si>
    <t>FRESAS REDONDAS MEDIANAS</t>
  </si>
  <si>
    <t>FRESAS REDONDAS PEQUEÑAS</t>
  </si>
  <si>
    <t>FRESAS CONO INVERTIDO</t>
  </si>
  <si>
    <t>FRESAS ZEKRYA</t>
  </si>
  <si>
    <t xml:space="preserve">GASA ODONTOLOGICA </t>
  </si>
  <si>
    <t xml:space="preserve">PAQUETE </t>
  </si>
  <si>
    <t>GELATAMP</t>
  </si>
  <si>
    <t>NIPRO</t>
  </si>
  <si>
    <t>HIDROXIDO DE CALCIO POLVO</t>
  </si>
  <si>
    <t>HIPOCLORITO DE SODIO AL 5.25%</t>
  </si>
  <si>
    <t>ZONIFAR</t>
  </si>
  <si>
    <t>HOJAS DE BISTURI NUMERO 15</t>
  </si>
  <si>
    <t>JERINGA PARA IRRIGAR</t>
  </si>
  <si>
    <t>LASTIES SOLITARIOS COLOR AMARILLO * 1000</t>
  </si>
  <si>
    <t>BOLSITAS</t>
  </si>
  <si>
    <t>LASTIES SOLITARIOS COLOR AZUL * 1000</t>
  </si>
  <si>
    <t>LASTIES SOLITARIOS COLOR GRIS * 1000</t>
  </si>
  <si>
    <t>LASTIES SOLITARIOS COLOR NEGRO * 1000</t>
  </si>
  <si>
    <t>LASTIES SOLITARIOS COLOR ROJO * 1000</t>
  </si>
  <si>
    <t>LASTIES SOLITARIOS COLOR ROSADO * 1000</t>
  </si>
  <si>
    <t>LASTIES SOLITARIOS COLOR TRANSPARENTE * 1000</t>
  </si>
  <si>
    <t>LASTIES SOLITARIOS COLOR VERDE * 1000</t>
  </si>
  <si>
    <t>LIGADURA DE ALAMBRE 0.010</t>
  </si>
  <si>
    <t>LIJA METALICA</t>
  </si>
  <si>
    <t>LIMADURA DE PLATA</t>
  </si>
  <si>
    <t>SDL</t>
  </si>
  <si>
    <t>LIMAS 1 SERIE</t>
  </si>
  <si>
    <t>LIMAS 2 SERIE</t>
  </si>
  <si>
    <t>LIQUIDO REVELADO - FIJADOR</t>
  </si>
  <si>
    <t>LYDOCAINA</t>
  </si>
  <si>
    <t>MERCURIO</t>
  </si>
  <si>
    <t>OXIDO DE ZINC</t>
  </si>
  <si>
    <t>PAPEL ALUMINI0</t>
  </si>
  <si>
    <t>PAPEL CRISTAFLEX</t>
  </si>
  <si>
    <t>PAPEL DE ARTICULAR</t>
  </si>
  <si>
    <t>PASTA PARA PROFILAXIS</t>
  </si>
  <si>
    <t xml:space="preserve">FRASCO </t>
  </si>
  <si>
    <t>PELICULAS RADIOGRAFICAS</t>
  </si>
  <si>
    <t>PIEDRAS BLANCAS PULIR RESINA</t>
  </si>
  <si>
    <t>PORTAMATRIZ</t>
  </si>
  <si>
    <t>PUNTAS DE PAPEL</t>
  </si>
  <si>
    <t>PUNTAS DE CAVITRON</t>
  </si>
  <si>
    <t>RESINA A 3.5.</t>
  </si>
  <si>
    <t>RESINA A1</t>
  </si>
  <si>
    <t>RESINA A2</t>
  </si>
  <si>
    <t>RESINA A3</t>
  </si>
  <si>
    <t>RESINA B2</t>
  </si>
  <si>
    <t>RETRACTOR DE MEJILLA PLASTICO ADULTOS</t>
  </si>
  <si>
    <t>ROXCICAINA CARPULES 2%</t>
  </si>
  <si>
    <t>REVELADOR</t>
  </si>
  <si>
    <t>SEDA DENTAL</t>
  </si>
  <si>
    <t xml:space="preserve">SEDA SUTURA #000 </t>
  </si>
  <si>
    <t>SELLANTE DE FOTOCURADO</t>
  </si>
  <si>
    <t>SULTANSIL</t>
  </si>
  <si>
    <t>TAPABOCAS</t>
  </si>
  <si>
    <t>TIRANERVIOS</t>
  </si>
  <si>
    <t>TIRAS DE MILAR</t>
  </si>
  <si>
    <t>TOALLAS DE MANO MEDIANAS BLANCAS</t>
  </si>
  <si>
    <t xml:space="preserve"> </t>
  </si>
  <si>
    <t>TUBO DE ORTODONCIA DE CEMENTADO DIRECTO 0.22 DERECHO</t>
  </si>
  <si>
    <t>DERECHOS</t>
  </si>
  <si>
    <t>TUBO DE ORTODONCIA DE CEMENTADO DIRECTO 0.22 IZQUIERDO</t>
  </si>
  <si>
    <t>IZQUIERDOS</t>
  </si>
  <si>
    <t>Aceite de inmersiòn</t>
  </si>
  <si>
    <t>botella 500ml</t>
  </si>
  <si>
    <t>Agujas vacutainer</t>
  </si>
  <si>
    <t>caja x 100</t>
  </si>
  <si>
    <t xml:space="preserve">Agujas calibre 21 x 1/2 </t>
  </si>
  <si>
    <t>Alcohol  àcidozn</t>
  </si>
  <si>
    <t>galon</t>
  </si>
  <si>
    <t>Alcohol acetona</t>
  </si>
  <si>
    <t>botella 1000ml</t>
  </si>
  <si>
    <t>Alcohol Industrial para mechero</t>
  </si>
  <si>
    <t>Alcohol Metilicozn</t>
  </si>
  <si>
    <t>Algodòn Torundas</t>
  </si>
  <si>
    <t>bolsa de 500 gramos</t>
  </si>
  <si>
    <t>Anti A 10 ml</t>
  </si>
  <si>
    <t>Anti B 10 ml</t>
  </si>
  <si>
    <t>Anti CDE 10 ml</t>
  </si>
  <si>
    <t>Anti D 10 ml</t>
  </si>
  <si>
    <t>botella 100ml</t>
  </si>
  <si>
    <t>Aplicadores con algodòn</t>
  </si>
  <si>
    <t>Azul de metileno</t>
  </si>
  <si>
    <t>Bufer de Giemsa</t>
  </si>
  <si>
    <t>frasco 500 ml</t>
  </si>
  <si>
    <t>kit</t>
  </si>
  <si>
    <t>caja x 10</t>
  </si>
  <si>
    <t>Churruscos para vidriería pequeño</t>
  </si>
  <si>
    <t>Cinta de enmascarar</t>
  </si>
  <si>
    <t>Clinitex pastilla</t>
  </si>
  <si>
    <t>Clolorante de Giemsa</t>
  </si>
  <si>
    <t>botella</t>
  </si>
  <si>
    <t>Colorante de Wright</t>
  </si>
  <si>
    <t>botella x 500 ml</t>
  </si>
  <si>
    <t>botella x 120 ml</t>
  </si>
  <si>
    <t>Cloruro de sodio 0,85%</t>
  </si>
  <si>
    <t>Contro interno de hematologiasanguinea</t>
  </si>
  <si>
    <t xml:space="preserve">2 niveles </t>
  </si>
  <si>
    <t>Contro interno de quimicasanguinea</t>
  </si>
  <si>
    <t>Creatinina directa</t>
  </si>
  <si>
    <t>caja x 50</t>
  </si>
  <si>
    <t>Dextrosa Glicemia caja 25*50 sobres</t>
  </si>
  <si>
    <t>detergenteneutrojabon liquido</t>
  </si>
  <si>
    <t>Fucsina Gram 1000ml</t>
  </si>
  <si>
    <t>Fucsina Fenicada * 100 ml</t>
  </si>
  <si>
    <t>Field solucion A * 120 ml</t>
  </si>
  <si>
    <t>Field solucion B * 120 ml</t>
  </si>
  <si>
    <t>Field Sales Fosfatadas 10/5</t>
  </si>
  <si>
    <t>Gasa Aseptica hospitalaria</t>
  </si>
  <si>
    <t>rollo</t>
  </si>
  <si>
    <t>Gorros desechables</t>
  </si>
  <si>
    <t>caja x unidades</t>
  </si>
  <si>
    <t>Guantes talla M</t>
  </si>
  <si>
    <t xml:space="preserve">caja </t>
  </si>
  <si>
    <t>Guantes talla S</t>
  </si>
  <si>
    <t>caja</t>
  </si>
  <si>
    <t>Guardianes</t>
  </si>
  <si>
    <t>Hematest Sangre Oculta * 100</t>
  </si>
  <si>
    <t>Hipoclorito de sodio</t>
  </si>
  <si>
    <t>Jeringas de 10 ml</t>
  </si>
  <si>
    <t>Jeringas de 5 ml</t>
  </si>
  <si>
    <t>Jeringas de 3 ml</t>
  </si>
  <si>
    <t>KOH al 10%</t>
  </si>
  <si>
    <t>botella e 100 ml</t>
  </si>
  <si>
    <t>Laminas Cubreobjetos</t>
  </si>
  <si>
    <t>caja 50 und</t>
  </si>
  <si>
    <t>Laminas de Serologia</t>
  </si>
  <si>
    <t>Laminas para hemoclasificacion</t>
  </si>
  <si>
    <t>Laminas portaobjetos</t>
  </si>
  <si>
    <t>Lugol de Gram</t>
  </si>
  <si>
    <t>Lugol de Parasitología</t>
  </si>
  <si>
    <t>Mecheros</t>
  </si>
  <si>
    <t>Paquetes de control externo de quimica</t>
  </si>
  <si>
    <t>Paquetes control externo hematologia</t>
  </si>
  <si>
    <t>Peroxido de hidrogeno 10%</t>
  </si>
  <si>
    <t>Porta guardianes</t>
  </si>
  <si>
    <t>Prueba de embarazo</t>
  </si>
  <si>
    <t>caja x 40 unidad</t>
  </si>
  <si>
    <t>Puntas amarillas</t>
  </si>
  <si>
    <t>bolsa x 1000</t>
  </si>
  <si>
    <t>Puntas Azules</t>
  </si>
  <si>
    <t>Sellante hematocrito (plastilina)</t>
  </si>
  <si>
    <t>frasco x 150</t>
  </si>
  <si>
    <t>Tubo cónico plastico de 15 ml</t>
  </si>
  <si>
    <t>Tubos vacutainer tapa lila pediatrico</t>
  </si>
  <si>
    <t>paquete X 100</t>
  </si>
  <si>
    <t>Tubos vacutainer tapa lila adulto</t>
  </si>
  <si>
    <t>Violeta Gram</t>
  </si>
  <si>
    <t>botella X 500 ml</t>
  </si>
  <si>
    <t>Xilol</t>
  </si>
  <si>
    <t xml:space="preserve">botella X 120 ML </t>
  </si>
  <si>
    <t xml:space="preserve">Nota: Las necesidades podran variar de acuerdo al comportamiento de la demanda,la contratación con las ARS, el incremento de la población vinculada y las proyecciones se hicieron teniendo en cuenta unicamente los laboratorios clínicos que actualmente se encuentran funcionando.  </t>
  </si>
  <si>
    <t>ENZIGER FRASCO X 1000 CC</t>
  </si>
  <si>
    <t>GASTOS DE OPERACIÓN COMERCIAL Y PRESTACION DE SERVICIOS</t>
  </si>
  <si>
    <t xml:space="preserve">PRODUCTOS FARMACEUTICOS - MATERIAL MEDICO QUIRURGICO - ODONTOLOGICO - LABORATORIO - RAYOS X - </t>
  </si>
  <si>
    <t xml:space="preserve">PROMOCION Y PREVENCION   </t>
  </si>
  <si>
    <t>MEDICAMENTOS DE URGENCIA</t>
  </si>
  <si>
    <t>INSUMOS  MEDICO QUIRURGICO</t>
  </si>
  <si>
    <t>INSUMOS ODONTOLOGICO</t>
  </si>
  <si>
    <t>INSUMOS  LABORATORIO CLINICO</t>
  </si>
  <si>
    <t>INSUMOS  EQUIPOS HEMATOLOGIA</t>
  </si>
  <si>
    <t>ESTERILIZANTES</t>
  </si>
  <si>
    <t>INSUMOS PARA VACUNACION</t>
  </si>
  <si>
    <t>CAPITACION</t>
  </si>
  <si>
    <t>ALIMENTACION</t>
  </si>
  <si>
    <t>Manguera para jeringa lisa x mts</t>
  </si>
  <si>
    <t>Rodamientos 6305</t>
  </si>
  <si>
    <t>Cristal acrilico protector de pantalla con dobles</t>
  </si>
  <si>
    <t>Cheque de 1/2 x 1/4 tipo lapicero</t>
  </si>
  <si>
    <t xml:space="preserve">Llave drenaje compresor de 1/4 </t>
  </si>
  <si>
    <t xml:space="preserve">Manometro 120 lbs. De 1/4 </t>
  </si>
  <si>
    <t xml:space="preserve">Presostato 120 lbs multi de 1/4 </t>
  </si>
  <si>
    <t xml:space="preserve">Valvula de seguridad compresor de 1/4 </t>
  </si>
  <si>
    <t>Manguera siliconado capilar de 1/8 x metros</t>
  </si>
  <si>
    <t>Metros</t>
  </si>
  <si>
    <t>ADQUISICION DE BIENES                                                                                                                                                                                   PAPELERIA Y ELEMENTOS DE OFICINA - ELEMENTOS DE ASEO Y CAFETERIA - BIENESTAR SOCIAL - MUEBLES Y EQUIPOS - INSUMOS</t>
  </si>
  <si>
    <t xml:space="preserve">UTILES DE OFICINA DE OFICINA </t>
  </si>
  <si>
    <t>PUBLICIDAD</t>
  </si>
  <si>
    <t>ELEMENTOS DE ASEO Y CAFETERIA</t>
  </si>
  <si>
    <t>DOTACION  BRIGADISTAS</t>
  </si>
  <si>
    <t>MUEBLES Y ENSERES</t>
  </si>
  <si>
    <t>EXTINTORES</t>
  </si>
  <si>
    <t>SEÑALIZACIONES RED E.S.E. IMSALUD</t>
  </si>
  <si>
    <t>DOTACION AMBULANCIAS</t>
  </si>
  <si>
    <t xml:space="preserve">EQUIPOS DE COMPUTACION Y COMUNICACIÓN PARA LAS IPS DE LA E.S.E. </t>
  </si>
  <si>
    <t>EQUIPO AUTOMOTOR</t>
  </si>
  <si>
    <t xml:space="preserve">ROPA DE MAYO </t>
  </si>
  <si>
    <t>REPUESTOS EQUIPOS BIOMEDICOS</t>
  </si>
  <si>
    <t>REPUESTOS EQUIPOS ODONTOLOGIA</t>
  </si>
  <si>
    <t>INSUMOS PARA LOS VEHICULOS</t>
  </si>
  <si>
    <t>EQUIPOS BIOMEDICOS</t>
  </si>
  <si>
    <t>EQUIPOS PARA LABORATORIO</t>
  </si>
  <si>
    <t>EQUIPOS E INSTRUMENTAL PARA ODONTOLOGIA</t>
  </si>
  <si>
    <t>EQUIPO FOTOCOPIADO</t>
  </si>
  <si>
    <t>EQUIPO DE REFRIGERACION AIRES ACONDICIONADOS</t>
  </si>
  <si>
    <t>MANEJO DE CONTROL DE PLAGAS</t>
  </si>
  <si>
    <t>OXIGENO MEDICINAL</t>
  </si>
  <si>
    <t>CARROTANQUES</t>
  </si>
  <si>
    <t>TOTAL PROYECCION</t>
  </si>
  <si>
    <t>8.794.970.754</t>
  </si>
  <si>
    <t>VR</t>
  </si>
  <si>
    <t>CANECAS, PAPELERAS, ESTIBAS</t>
  </si>
  <si>
    <t>DOTACON CONSTRUCCIONES</t>
  </si>
  <si>
    <t>UTILES DE OFICINA  - 2015</t>
  </si>
  <si>
    <t>PUBLICIDAD AÑO 2015</t>
  </si>
  <si>
    <t>INSUMOS DE ASEO PARA   LAS DIFERENTES IPS - 2015</t>
  </si>
  <si>
    <t>PEDIDO DE CANECAS PARAS LAS I.P.S. Y UNIDADES BASICAS 2015</t>
  </si>
  <si>
    <t>DOTACION BRIGADISTAS - 2015</t>
  </si>
  <si>
    <t>VEHICULOS  PARA LAS I.P.S. DE LA E.S.E. IMSALUD AÑO 2015</t>
  </si>
  <si>
    <t>EQUIPOS DE  COMUNICACION PARA LAS I.P.S. DE LA E.S.E. IMSALUD AÑO 2015</t>
  </si>
  <si>
    <t>ROPA DE MAYO 2015</t>
  </si>
  <si>
    <t>REPUESTOS EQUIPOS BIOMEDICOS - 2015</t>
  </si>
  <si>
    <t>REPUESTOS EQUIPOS ODONTOLOGICOS 2015</t>
  </si>
  <si>
    <t>EQUIPOS BIOMEDICOS PARA LAS IPS DE LA ESE IMSALUD AÑO 2015</t>
  </si>
  <si>
    <t>EQUIPOS DE LABORATORIO PARA LAS IPS DE LA ESE IMSALUD AÑO 2015</t>
  </si>
  <si>
    <t>EQUIPOS E INSTRUMENTAL PARA ODONTOLOGIA PARA LAS IPS DE LA ESE IMSALUD AÑO 2015</t>
  </si>
  <si>
    <t>AIRES ACONDICIONADOS TIPO SPLIT PARA LAS I.P.S. DE LA E.S.E. IMSALUD AÑO 2015</t>
  </si>
  <si>
    <t xml:space="preserve"> MANEJO Y CONTROL DE PLAGAS CASERAS EN LAS DIFERENTES IPS DE LA E.S.E IMSALUD 2015</t>
  </si>
  <si>
    <t xml:space="preserve"> OXIGENO MEDICINAL PARA LAS DIFERENTES UNIDADES BASICA DE LA E.S.E IMSALUD 2015</t>
  </si>
  <si>
    <t>BOTELLONES DE AGUA PARA LAS DIFERENTES UNIDADES BASICA Y SEDE ADMINISTRATIVA DE LA E.S.E IMSALUD 2015</t>
  </si>
  <si>
    <t>CARROTANQUES DE AGUA PARA LAS DIFERENTES UNIDADES BASICA Y SEDE ADMINISTRATIVA DE LA E.S.E IMSALUD 2015</t>
  </si>
  <si>
    <t>TOTAL PROYECCION 2015</t>
  </si>
  <si>
    <t>SEGUROS GENERALES PARA LA E.S.E. IMSALUD  PROYECCION 2015</t>
  </si>
  <si>
    <t>SEGUROS GENERALES PARA LA E.S.E. IMSALUD 2015</t>
  </si>
  <si>
    <t>AÑO  2015</t>
  </si>
  <si>
    <t>COSTOS     AÑO 2015</t>
  </si>
  <si>
    <t>MANTENIMIENTO    PREVENTIVO  Y CORRECTIVO  DE LOS EQUIPOS MEDICOS PARA LAS I.P.S. DE LA E.S.E. IMSALUD - 2015</t>
  </si>
  <si>
    <t>MANTENIMIENTO    PREVENTIVO  Y CORRECTIVO  DE MUEBLES Y ENSERES PARA LAS I.P.S. DE LA E.S.E. IMSALUD - 2015</t>
  </si>
  <si>
    <t>MANTENIMIENTO PREVENTIVO Y CORRECTIVO  PARA LAS IPS DE LA E.S.E IMSALUD 2015</t>
  </si>
  <si>
    <t>MANTENIMIENTO PREVENTIVO  Y CORRECTIVO  PARA  MOTOBOMBAS EN LAS  I.P.S. DE LA E.S.E. IMSALUD - 2015</t>
  </si>
  <si>
    <t>MANTENIMIENTO    PREVENTIVO  Y CORRECTIVO  DE LAVADOS DE TANQUES CON SU PROTOCLO LAS I.P.S. DE LA E.S.E. IMSALUD - 2015</t>
  </si>
  <si>
    <t>MANTENIMIENTO   PREVENTIVO  Y CORRECTIVO  PARA LOS VEHICULOS DE LA E.S.E. IMSALUD - 2015</t>
  </si>
  <si>
    <t>MANTENIMIENTO    PREVENTIVO  Y CORRECTIVO  DE LOS EQUIPOS ODONTOLOGICOS PARA LAS I.P.S. DE LA E.S.E. IMSALUD - 2015</t>
  </si>
  <si>
    <t>MANTENIMIENTO    PREVENTIVO  Y CORRECTIVO  DE EQUIPOS DE LABORATORIOS CLINICOS PARA LAS I.P.S. DE LA E.S.E. IMSALUD - 2015</t>
  </si>
  <si>
    <t>MANTENIMIENTO PREVENTIVO Y CORRECTIVO PARA EQUIPOS EN EL AREA DE SALA DE PARTOS - 2015</t>
  </si>
  <si>
    <t>MANTENIMIENTO PREVENTIVO Y CORRECTIVO PARA EQUIPOS DE IMAGENEOLOGIA  - 2015</t>
  </si>
  <si>
    <t>MANTENIMIENTO PREVENTIVO Y CORRECTIVO PARA EQUIPOS ELECTROMECANICOS - 2015</t>
  </si>
  <si>
    <t>PRESUPUESTO 2015</t>
  </si>
  <si>
    <t>MEDICAMENTOS DE URGENCIA 2015</t>
  </si>
  <si>
    <t>INSUMO MEDICOQUIRURGICOS E.S.E. IMSALUD AÑO 2015</t>
  </si>
  <si>
    <t>INSUMOS DE ODONTOLOGIA 2015</t>
  </si>
  <si>
    <t>INSUMOS LABORATORIO 2015</t>
  </si>
  <si>
    <t>INSUMOS EQUIPOS HEMATOLOGIA 2015</t>
  </si>
  <si>
    <t>INSUMOS PARA VACUNACION   AÑO 2015</t>
  </si>
  <si>
    <t>PEDIDO DE CANECAS DE PEDAL PARAS LAS I.P.S. , POLICLINICO Y UNIDADES BASICAS 2015</t>
  </si>
  <si>
    <t>AMBULANCIA  OWN 312</t>
  </si>
  <si>
    <t>GRANDE</t>
  </si>
  <si>
    <t>ENCUBADORA CERRADA</t>
  </si>
  <si>
    <t>TELEVISOR DE 32"LED SAMSUNG MAS SOPORTE</t>
  </si>
  <si>
    <t>FOTOCOPIADORAS</t>
  </si>
  <si>
    <t>MUEBLES  ENSERES Y EQUIPOS PARA LAS I.P.S. DE LA E.S.E. IMSALUD AÑO 2015</t>
  </si>
  <si>
    <t>DIGITILIZADORES / IMPRESORAS DE ACETATOS</t>
  </si>
  <si>
    <t>CARROS DE PARO</t>
  </si>
  <si>
    <t>EQUIPO DE ORGANO WELCH ALLYN REF. 18320</t>
  </si>
  <si>
    <t>CUNAS HOSPITALARIAS</t>
  </si>
  <si>
    <t>FLUROSCENTE T8 4100K</t>
  </si>
  <si>
    <t>TRANSFERENCIA AUTOMATICA PLANTA ELECTRICA</t>
  </si>
  <si>
    <t>CABINA INSONORIZACION PLANTA ELECTRICA</t>
  </si>
  <si>
    <t>BALASTO ELECTRONICO 2X59W</t>
  </si>
  <si>
    <t>FLUORESCENTE 32W</t>
  </si>
  <si>
    <t>FLUORESCENTE 30W</t>
  </si>
  <si>
    <t>FLUORESCENTE 2X17W</t>
  </si>
  <si>
    <t>UNIDADES ODONTOLOGICAS</t>
  </si>
  <si>
    <t>AMALGAMADORES</t>
  </si>
  <si>
    <t>PIEZA DE MANO ALTA</t>
  </si>
  <si>
    <t>CAVITRONES</t>
  </si>
  <si>
    <t>CONTRAANGULOS</t>
  </si>
  <si>
    <t>FLUORESCENTE DE 32W ROSCA</t>
  </si>
  <si>
    <t>BALASTO 32W</t>
  </si>
  <si>
    <t>BOMBILLO AHORRADOR 25W</t>
  </si>
  <si>
    <t>VALOR TOTAL/IPS</t>
  </si>
  <si>
    <t>TOMAS ELECTRICOS</t>
  </si>
  <si>
    <t>INTERRUPTORES</t>
  </si>
  <si>
    <t>ALAMBRE 10,12 Y 14</t>
  </si>
  <si>
    <t>DUPLEX 12</t>
  </si>
  <si>
    <t>HORNOS ESTERILIZADORES</t>
  </si>
  <si>
    <t>INMOVILIZADOR PIERNA COMPLETA ADULTO Y PEDIATRICO</t>
  </si>
  <si>
    <t>INMOVILIZADOR MEDIA PIERNA ADULTO Y PEDIATRICO</t>
  </si>
  <si>
    <t>INMOVILIZADOR PIE Y TOBILLO ADULTO Y PEDIATRICO</t>
  </si>
  <si>
    <t>CABESTRILLOS</t>
  </si>
  <si>
    <t>IMPERMEABILIZACION PLACA CUBIERTAS</t>
  </si>
  <si>
    <t>MANT. E IMP. TANQUE SUBTERRANEO</t>
  </si>
  <si>
    <t>MANT. E IMP. TANQUE AEREO</t>
  </si>
  <si>
    <t>RESANES Y PINTURA VINILICA</t>
  </si>
  <si>
    <t>PINTURA CARPINTERIA METALICA</t>
  </si>
  <si>
    <t>CAJAS DE INSPECCION</t>
  </si>
  <si>
    <t>MAMPOSTERIA Y LADRILLO</t>
  </si>
  <si>
    <t>PAÑETES Y ESTUCOS</t>
  </si>
  <si>
    <t>ENCHAPES MUROS</t>
  </si>
  <si>
    <t>ENCHAPES PISOS</t>
  </si>
  <si>
    <t>LIMPIEZA DE CANALES</t>
  </si>
  <si>
    <t>ESTIBAS EN PVC    2015</t>
  </si>
  <si>
    <t>ESTIBAS PVC</t>
  </si>
  <si>
    <t>CANECAS DE PEDAL</t>
  </si>
  <si>
    <t xml:space="preserve">MESAS DE NOCHE </t>
  </si>
  <si>
    <t>ATRIL CROMADO EN ACERO CON BASE RODABLE</t>
  </si>
  <si>
    <t>ESCALERILLAS</t>
  </si>
  <si>
    <t>PORTA HISTORIAS CLINICAS</t>
  </si>
  <si>
    <t>CARRO PORTA HISTORIAS CLINICAS</t>
  </si>
  <si>
    <t>TOALLERO EN ALUMINIO ADONIZADO</t>
  </si>
  <si>
    <t>PATOS EN ACERO INOXIDABLE</t>
  </si>
  <si>
    <t>PISINGOS EN ACERO INOXIDABLE</t>
  </si>
  <si>
    <t>GLUCOMETRO</t>
  </si>
  <si>
    <t>VITRINAS DOS PUESTOS EN ACERO INOXIDABLE</t>
  </si>
  <si>
    <t>NEVERA DE MESA PARA MEDICAMENTOS 130 LTS</t>
  </si>
  <si>
    <t xml:space="preserve">CARRO PARA ROPA </t>
  </si>
  <si>
    <t>KIT DE ESTIMULACION TEMPRANA</t>
  </si>
  <si>
    <t>TERMOMETRO CON GALIO LIBRE DE MERCURIO</t>
  </si>
  <si>
    <t>TENSIOMETRO ANEROIDE ADULTO Y PEDIATRICO</t>
  </si>
  <si>
    <t>TERMOMETRO HIGROMETRO</t>
  </si>
  <si>
    <t>TALLIMETRO PARA MONTAJE MURAL</t>
  </si>
  <si>
    <t>BATA MEDICOS MANGA CORTA</t>
  </si>
  <si>
    <t xml:space="preserve">BATA ODONT. / BACTERIO. MANGA LARGA </t>
  </si>
  <si>
    <t>BATA ENFERMERAS MANGA CORTA</t>
  </si>
  <si>
    <t>BATAS PACIENTES                     (Genero verde100% algodón)</t>
  </si>
  <si>
    <t xml:space="preserve">SABANAS CON FUNDAS                (Antifluido para camilla con tiras de refuerzo)  </t>
  </si>
  <si>
    <t xml:space="preserve">SABANAS-SOBRESABANA SABANA DE MOVIMIENTO Y FUNDAS                                                    (Para cama hospitalaria)   </t>
  </si>
  <si>
    <t xml:space="preserve">SABANAS-SOBRESABANA SABANA DE MOVIMIENTO Y FUNDAS                                                    (Para cuna hospitalaria)   </t>
  </si>
  <si>
    <t xml:space="preserve">IVA </t>
  </si>
  <si>
    <t>GORROS PARA CIRUGIA ANTIFLUIDO</t>
  </si>
  <si>
    <t>BATA PARA CIRUGIA                       (Genero verde 100% algodón )</t>
  </si>
  <si>
    <t>UNIFORMES DE MAYO EN ANTIFLUIDO VERDE</t>
  </si>
  <si>
    <t>LARINGOSCOPIO ADULTO Y PEDIATRICO</t>
  </si>
  <si>
    <t>BUTACOS GIRATORIOS</t>
  </si>
  <si>
    <t>CAMILLA RODANTE CON FRENO Y BARANDAS</t>
  </si>
  <si>
    <t xml:space="preserve">CIZALLA DE DOBLE ACCION </t>
  </si>
  <si>
    <t>GUIA PICO DE PATO</t>
  </si>
  <si>
    <t>CLAMPS UMBILICALES</t>
  </si>
  <si>
    <t xml:space="preserve">CLAMP DE LANE </t>
  </si>
  <si>
    <t>CLAMPS DE HAY GROBER</t>
  </si>
  <si>
    <t>HOMBRE SOLO</t>
  </si>
  <si>
    <t>SEPARADORES DE BENNETT</t>
  </si>
  <si>
    <t>SEPARADORES DE VOLKMAN</t>
  </si>
  <si>
    <t>SEPARADORES DE OLLIER</t>
  </si>
  <si>
    <t>SEPARADORES DE HIBBS</t>
  </si>
  <si>
    <t>SEPARADORES DE HOHMANN</t>
  </si>
  <si>
    <t>SEPARADORES DE COBRA</t>
  </si>
  <si>
    <t>VALVA DE DOYEN</t>
  </si>
  <si>
    <t>GANCHO DE LAMBOTTE</t>
  </si>
  <si>
    <t>MARTILLO</t>
  </si>
  <si>
    <t>PRESAS DE LOWMANN</t>
  </si>
  <si>
    <t>PASPA DE PUTTIN</t>
  </si>
  <si>
    <t>RUGINAS DE FARABEUT RECTA Y CURVA</t>
  </si>
  <si>
    <t>CURETAS</t>
  </si>
  <si>
    <t>DISECTOR ADSON</t>
  </si>
  <si>
    <t>DISECTOR COOB</t>
  </si>
  <si>
    <t>DISECTOR LANGENBECK</t>
  </si>
  <si>
    <t>REGLA DE ZIMMER</t>
  </si>
  <si>
    <t>MANGO DE BISTURI #4 Y #7</t>
  </si>
  <si>
    <t>PINZA DE DISECCION ESTANDAR CON Y SIN GARRA</t>
  </si>
  <si>
    <t>PINZAS DE DISECCION ADSON CON Y SIN GARRA</t>
  </si>
  <si>
    <t>PINZAS DE DISECCION RUSA</t>
  </si>
  <si>
    <t>PINZAS MOSQUITO</t>
  </si>
  <si>
    <t>OSTEOMOTOS DE LAMBOTTE</t>
  </si>
  <si>
    <t>PINZA KELLY</t>
  </si>
  <si>
    <t>PINZA DE ROCHESTER</t>
  </si>
  <si>
    <t>PORTA AGUJAS</t>
  </si>
  <si>
    <t>PINZAS KOGGER</t>
  </si>
  <si>
    <t>SEPARADORES DE FARABEUT</t>
  </si>
  <si>
    <t>PINZAS DE CAMPO</t>
  </si>
  <si>
    <t>SEPARADORES DE SEEN</t>
  </si>
  <si>
    <t>SEPARADORES DE ARMI</t>
  </si>
  <si>
    <t>TIJERAS DE MAYO</t>
  </si>
  <si>
    <t>TIJERAS DE METZMBAUN</t>
  </si>
  <si>
    <t>GUIA RECTA</t>
  </si>
  <si>
    <t>TIJERAS</t>
  </si>
  <si>
    <t>BISTURI</t>
  </si>
  <si>
    <t>BISTURI ELECTRICO</t>
  </si>
  <si>
    <t>ELECTROCARDIOGRAFO</t>
  </si>
  <si>
    <t>ALGODÓN LAMINADO 2X5</t>
  </si>
  <si>
    <t>ALGODÓN LAMINADO 3X5</t>
  </si>
  <si>
    <t>ALGODÓN LAMINADO 4X5</t>
  </si>
  <si>
    <t>ALGODÓN LAMINADO 5X5</t>
  </si>
  <si>
    <t>ALGODÓN LAMINADO 6X5</t>
  </si>
  <si>
    <t>VENDA ELASTICA 2X5</t>
  </si>
  <si>
    <t>VENDA ELASTICA 3X5</t>
  </si>
  <si>
    <t>VENDA ELASTICA 4X5</t>
  </si>
  <si>
    <t>VENDA YESO 3X5</t>
  </si>
  <si>
    <t>VENDA YESO 4X5</t>
  </si>
  <si>
    <t>VENDA YESO 5X5</t>
  </si>
  <si>
    <t>VENDA YESO 6X5</t>
  </si>
  <si>
    <t>JUEGO DE SIERRA PARA RETIRO DE YESO</t>
  </si>
  <si>
    <t xml:space="preserve">Aceite spray </t>
  </si>
  <si>
    <t>KAVO</t>
  </si>
  <si>
    <t>USHIO</t>
  </si>
  <si>
    <t>Bombillo lampara de fotocurado 12V75W</t>
  </si>
  <si>
    <t>Bombillo h3 de 12v 55w para unidad odontologica</t>
  </si>
  <si>
    <t>Holder  con pie de amigo o en aro para pieza de mano</t>
  </si>
  <si>
    <t>Valvula on - off</t>
  </si>
  <si>
    <t>Valvula retractora</t>
  </si>
  <si>
    <t>FIAC</t>
  </si>
  <si>
    <t xml:space="preserve">Balineras ceramica </t>
  </si>
  <si>
    <t>Switch grande ON-OFF con piloto</t>
  </si>
  <si>
    <t>Sensor de temperatura 300050565</t>
  </si>
  <si>
    <t>GNATUS</t>
  </si>
  <si>
    <t xml:space="preserve">Piston  compresor MSV3/6 </t>
  </si>
  <si>
    <t xml:space="preserve">Juego de dos Anillos compresor MSV/6 </t>
  </si>
  <si>
    <t xml:space="preserve">Jeringa triple tipo ADEC </t>
  </si>
  <si>
    <t>Axcial repuesto para contraangulo</t>
  </si>
  <si>
    <t>LITEX</t>
  </si>
  <si>
    <t>GE</t>
  </si>
  <si>
    <t>Electro valvula termoval gnatus autoclave 15931-12l</t>
  </si>
  <si>
    <t>swich de perilla pequeños dos posiciones</t>
  </si>
  <si>
    <t>switch de balancin tres posiciones con retorno pequeño</t>
  </si>
  <si>
    <t>valvula antivacio par autoclve</t>
  </si>
  <si>
    <t xml:space="preserve">sello de seguridad para autoclave </t>
  </si>
  <si>
    <t>turbina push button extratorque 605</t>
  </si>
  <si>
    <t>Soquer para bombillo bipin</t>
  </si>
  <si>
    <t>Cordon con punta portinsertos para cavitron do cables</t>
  </si>
  <si>
    <t>BONART</t>
  </si>
  <si>
    <t>CAMILLA CON ESTRIBOS PARA CONULTORIO</t>
  </si>
  <si>
    <t>BASCULA DE PISO</t>
  </si>
  <si>
    <t>CARTELERA INFORMATIVA</t>
  </si>
  <si>
    <t>SOPORTE METALICO JABON QIRUCIDAL</t>
  </si>
  <si>
    <t>TOLDILLOS PARA DENGUE</t>
  </si>
  <si>
    <t>ANTONIA ANTOS</t>
  </si>
  <si>
    <t>CINTA METRICA</t>
  </si>
  <si>
    <t>COLLAR ORTOPEDICO ADULTO/PEDIATRICO</t>
  </si>
  <si>
    <t>MESA PARA CURACIONES</t>
  </si>
  <si>
    <t>MASCARA LARINGEA COMBITUBO DIFERENTES TAMAÑOS</t>
  </si>
  <si>
    <t>DISPOSITIVO DE BOLSA VALVULA MASCARA CON RESERVORIO ADULTO/PEDIATRICO</t>
  </si>
  <si>
    <t>MONITOR DE TEMPERATURA</t>
  </si>
  <si>
    <t>EQUIPO DE INTUBACIO RETROGRADA</t>
  </si>
  <si>
    <t>DESFIBRILADOR EXTERNO MANUAL PARA CARDIOVERSION</t>
  </si>
  <si>
    <t>INMOVILIZADOR BRAZO ADULTO/PEDIATRICO</t>
  </si>
  <si>
    <t>INMOVILIZADOR MUÑECA ADULTO/PEDIATRICO</t>
  </si>
  <si>
    <t>INMOVILIZADOR ANTEBRAZO ADULTO/ PEDIATRICO</t>
  </si>
  <si>
    <t>INSUMOS  PARA LOS VEHICULOS Y PLANTAS DE LA E.S.E. IMSALUD AÑO 2015</t>
  </si>
  <si>
    <t>VEHICULO  OWN  261</t>
  </si>
  <si>
    <t>AMBULANCIA OWN 313</t>
  </si>
  <si>
    <t>HILUX  OWN  196</t>
  </si>
  <si>
    <t>AUTOMOTOR (Nuevo)</t>
  </si>
  <si>
    <t>PLANTA ELECTRICAS IPS (9)</t>
  </si>
  <si>
    <t>PLANTA ELECTRICAS UBAS (6)</t>
  </si>
  <si>
    <t>DOTACION PARA AMBULANCIAS DE LA  ESE  IMSALUD - 2015</t>
  </si>
  <si>
    <t>Un Pato</t>
  </si>
  <si>
    <t>Un Pisingo</t>
  </si>
  <si>
    <t>MONITOR DE PRESION NO INVASIVA CON OXIMETRO ADULTO/PEDIATRICO</t>
  </si>
  <si>
    <t>FLUJOMETRO SENCILLO CON ACOPLE</t>
  </si>
  <si>
    <t>COSEDORA (GRAPADORA)</t>
  </si>
  <si>
    <t>LEGAJOS IMPRESOS FULL COLOR PARA ARCHIVO</t>
  </si>
  <si>
    <t>CAJA PARA ARCHIVO</t>
  </si>
  <si>
    <t>TINTA PARA SELLOS AZUL</t>
  </si>
  <si>
    <t>REGLA PLASTICA DE 30 CM</t>
  </si>
  <si>
    <t>BORRADOR PARA TABLERO ACRILICO</t>
  </si>
  <si>
    <t>TABLA DE PASTA CON GANCHO</t>
  </si>
  <si>
    <t>COSEDORA INDUSTRIAL</t>
  </si>
  <si>
    <t>CALCULADORA ELECTRONICA</t>
  </si>
  <si>
    <t>PEGANTE EN BARRA (PEGA STICK)</t>
  </si>
  <si>
    <t>PILAS CUADRADAS</t>
  </si>
  <si>
    <t>RESMAS CARTA</t>
  </si>
  <si>
    <t>RESMAS OFICIO</t>
  </si>
  <si>
    <t>SACAPUNTA METALICO</t>
  </si>
  <si>
    <t>IMPRESOS</t>
  </si>
  <si>
    <t>COLBON MEDIANO 250 GR</t>
  </si>
  <si>
    <t>PAPEL TROQUELADO TRES PARTES</t>
  </si>
  <si>
    <t>LIGAS PLASTICAS POR PAQUETE DE 100 SIN COLOR</t>
  </si>
  <si>
    <t>MARCADOR SHARPIE  NEGRO</t>
  </si>
  <si>
    <t>TABLERO ACRILICO 120X100 BLANCO CON SOPORTES PARA COLGAR EN PARED</t>
  </si>
  <si>
    <t>CABEZA PARA IMPRESORA EPSON 2190</t>
  </si>
  <si>
    <t>CABEZA PARA IMPRESORA EPSON 890</t>
  </si>
  <si>
    <t>CARNET DE CRECIMIENTO Y DESARROLLO MENOR 10 AÑOS NIÑA</t>
  </si>
  <si>
    <t>CARNET DE CRECIMIENTO Y DESARROLLO MENOR 10 AÑOS NIÑO</t>
  </si>
  <si>
    <t>COLCHONETA PARA CAMILLA</t>
  </si>
  <si>
    <t>SILLAS VANYPLAS</t>
  </si>
  <si>
    <t>COLCHONETA ANTIESCARAS 1,90X1,00</t>
  </si>
  <si>
    <t>ADULTOS</t>
  </si>
  <si>
    <t>PEDIATRICOS</t>
  </si>
  <si>
    <t xml:space="preserve">MESA PUENTE PARA ALIMENTACION </t>
  </si>
  <si>
    <t>INFANTOMETRO PLEGABLE</t>
  </si>
  <si>
    <t>TABLAS EN ALUMINIO PARA HISTORIAS CLINICAS</t>
  </si>
  <si>
    <t>CARRO PARA DISTRIBUCION DE DIETAS</t>
  </si>
  <si>
    <t>CAMILLA TIPO DIVAN</t>
  </si>
  <si>
    <t>Nº</t>
  </si>
  <si>
    <t>DETALLE</t>
  </si>
  <si>
    <t>VR. UNITARIO</t>
  </si>
  <si>
    <t xml:space="preserve">Overol tipo brigadista impermeable con reflectivos, para diferentes tallas </t>
  </si>
  <si>
    <t xml:space="preserve">Bota tipo militar bordada, diferentes tallas  </t>
  </si>
  <si>
    <t xml:space="preserve">Casco de seguridad arseg 10096 </t>
  </si>
  <si>
    <t xml:space="preserve">Gorra tipo militar bordada </t>
  </si>
  <si>
    <t xml:space="preserve">Pito tipo brigadista </t>
  </si>
  <si>
    <t xml:space="preserve">Reata tipo militar con ojálate </t>
  </si>
  <si>
    <t xml:space="preserve">Linterna tipo brigadista </t>
  </si>
  <si>
    <t>Guantes de carnaza</t>
  </si>
  <si>
    <t xml:space="preserve">Cordino para brigadista 11mm  40 m </t>
  </si>
  <si>
    <t xml:space="preserve">Lentes de seguridad </t>
  </si>
  <si>
    <t>Botiquines portátiles  tipo morral</t>
  </si>
  <si>
    <t>Carpa de lona con instintivos de la empresa y de brigada de emergencia de 6X6 con soportes metálicos</t>
  </si>
  <si>
    <t xml:space="preserve">Braga pantalón y chaqueta diferentes tallas y bordadas con las insignias de imsalud y misión medica  </t>
  </si>
  <si>
    <r>
      <t xml:space="preserve">Camilla Miller </t>
    </r>
    <r>
      <rPr>
        <b/>
        <sz val="9"/>
        <color theme="1"/>
        <rFont val="Verdana"/>
        <family val="2"/>
      </rPr>
      <t xml:space="preserve">DIMENSIONES: </t>
    </r>
    <r>
      <rPr>
        <sz val="9"/>
        <color theme="1"/>
        <rFont val="Verdana"/>
        <family val="2"/>
      </rPr>
      <t>Ancho: 35cm Alto: 170cm Espesor: 5cmPESO: 6Kg CAPACIDAD DE CARGA: 300Kg</t>
    </r>
  </si>
  <si>
    <t>CARTILLA SOBRE DERECHOS Y DERECHOS PARA SIAU</t>
  </si>
  <si>
    <t>PAPEL ABSORVENTE/120 HOJAS</t>
  </si>
  <si>
    <t>JUEGO DE CHUPAS PARA ELECTROCARDIOGRAFO</t>
  </si>
  <si>
    <t xml:space="preserve">EXTENSION DE TENSIOMETRO DE PARED </t>
  </si>
  <si>
    <t>GUAIMARAL</t>
  </si>
  <si>
    <t>FLOTADORES ELECTRICOS</t>
  </si>
  <si>
    <t>FLOTADORES MECANICOS</t>
  </si>
  <si>
    <t>GUARDAMOTORES</t>
  </si>
  <si>
    <t>MOTOR VENTILADOR</t>
  </si>
  <si>
    <t>CONDENSADOR DE MARCHA</t>
  </si>
  <si>
    <t>CONDENSADOR DE ARRANQUE</t>
  </si>
  <si>
    <t>CONTACTORES</t>
  </si>
  <si>
    <t>GAS REFRIGERANTE</t>
  </si>
  <si>
    <t>QUIMICA BRILLALUM</t>
  </si>
  <si>
    <t>SOLDADURA DE PLATA</t>
  </si>
  <si>
    <t>ELECTRO  CARDIOGRAFO</t>
  </si>
  <si>
    <t>ELECTRO CAUTERIO</t>
  </si>
  <si>
    <t>Agua destilada FCO X 500 ML</t>
  </si>
  <si>
    <t>CAJA X 35</t>
  </si>
  <si>
    <t>botella * 500ml</t>
  </si>
  <si>
    <t>bolsa *1000 und</t>
  </si>
  <si>
    <t>Capilares sin heparina</t>
  </si>
  <si>
    <t>viales de reaccion de 1.5</t>
  </si>
  <si>
    <t>paquete x 500</t>
  </si>
  <si>
    <t>Microviales de 0.5</t>
  </si>
  <si>
    <t>paquete x 100</t>
  </si>
  <si>
    <t>rollo de stickers codigo de barras</t>
  </si>
  <si>
    <t>rollo x 2500</t>
  </si>
  <si>
    <t>Papel absorbente</t>
  </si>
  <si>
    <t>torniquete desechable</t>
  </si>
  <si>
    <t>VDRL con controles</t>
  </si>
  <si>
    <t xml:space="preserve">Tiras para uroanálisis </t>
  </si>
  <si>
    <t>lancetas desechables</t>
  </si>
  <si>
    <t>Tubos vacutainer tapa amarilla con gel</t>
  </si>
  <si>
    <t>guantes de Nitrilo</t>
  </si>
  <si>
    <t>PRUEBAS RAPIDAS de VIH</t>
  </si>
  <si>
    <t xml:space="preserve">caja x 40 </t>
  </si>
  <si>
    <t>Bajalenguas</t>
  </si>
  <si>
    <t>caja x 1000</t>
  </si>
  <si>
    <t>Minidil</t>
  </si>
  <si>
    <t>10 LITROS</t>
  </si>
  <si>
    <t>Minilyse</t>
  </si>
  <si>
    <t>1 LITRO</t>
  </si>
  <si>
    <t>Miniclean</t>
  </si>
  <si>
    <t>Basolyse</t>
  </si>
  <si>
    <t>Eosinofix</t>
  </si>
  <si>
    <t>Diluent</t>
  </si>
  <si>
    <t>20 LITROS</t>
  </si>
  <si>
    <t>Cleaner</t>
  </si>
  <si>
    <t>Lysebio</t>
  </si>
  <si>
    <t>0.4 LITRO</t>
  </si>
  <si>
    <t>INSUMOS QUIMICA LABORATORIOS - 2015</t>
  </si>
  <si>
    <t>CÓDIGO</t>
  </si>
  <si>
    <t>NOMBRE DEL PRODUCTO</t>
  </si>
  <si>
    <t>PRESENTACIÓN</t>
  </si>
  <si>
    <t>VALOR TOTAL INCLUIDO IVA</t>
  </si>
  <si>
    <t>MI41001</t>
  </si>
  <si>
    <t>Ácido úrico</t>
  </si>
  <si>
    <t>R1: 3x30ml            R2: 3x30ml</t>
  </si>
  <si>
    <t>SPINREACT</t>
  </si>
  <si>
    <t>N/A</t>
  </si>
  <si>
    <t>Bilirrubina total y directa</t>
  </si>
  <si>
    <t>1 x 150 ml R1 Directa 1X150ML R2 Total 1x10ml Sodium Nitrite</t>
  </si>
  <si>
    <t>MI1001111</t>
  </si>
  <si>
    <t>Creatinina</t>
  </si>
  <si>
    <t>MI41011</t>
  </si>
  <si>
    <t>Glucosa</t>
  </si>
  <si>
    <t>6x30ml</t>
  </si>
  <si>
    <t>MI41031</t>
  </si>
  <si>
    <t>Triglicéridos</t>
  </si>
  <si>
    <t>MI41041</t>
  </si>
  <si>
    <t>Urea</t>
  </si>
  <si>
    <t>R1: 5x25ml            R2: 1x32ml</t>
  </si>
  <si>
    <t>MI41021</t>
  </si>
  <si>
    <t xml:space="preserve">Colesterol </t>
  </si>
  <si>
    <t>MI1001096</t>
  </si>
  <si>
    <t>Colesterol HDL Directo</t>
  </si>
  <si>
    <t>R1: 4x30ml            R2: 2x20ml</t>
  </si>
  <si>
    <t>7G79-09</t>
  </si>
  <si>
    <t>Anticuerpos VIH 1 y 2</t>
  </si>
  <si>
    <t>96 TEST</t>
  </si>
  <si>
    <t>DIASORIN MUREX</t>
  </si>
  <si>
    <t>3425-300B</t>
  </si>
  <si>
    <t>TSH Neonatal</t>
  </si>
  <si>
    <t>192 TEST</t>
  </si>
  <si>
    <t>MONOBIND</t>
  </si>
  <si>
    <t>M1018</t>
  </si>
  <si>
    <t>Dengue IgM</t>
  </si>
  <si>
    <t>VIRCELL</t>
  </si>
  <si>
    <t>8E04-02</t>
  </si>
  <si>
    <t>Sífilis prueba treponémica microelisa</t>
  </si>
  <si>
    <t>LUNAS DE ESPEJOS BUCALES</t>
  </si>
  <si>
    <t>EXPLORADORES</t>
  </si>
  <si>
    <t>BRUÑIDORES DE BOLA Y HORQUETA</t>
  </si>
  <si>
    <t>TALLADORES DE FRANK I21B</t>
  </si>
  <si>
    <t>PORTA AMALGAMA</t>
  </si>
  <si>
    <t>FP3</t>
  </si>
  <si>
    <t>EQUIPOS DE COMPUTACION E INTERCONEXIÓN PARA LAS U.B. - I.P.S. DE LA E.S.E. IMSALUD AÑO 2015</t>
  </si>
  <si>
    <t>MEMORIAS DDR 1- 2</t>
  </si>
  <si>
    <t>CANTIDAD DE FAX</t>
  </si>
  <si>
    <t>VALOR FAX</t>
  </si>
  <si>
    <t>CANTIDAD COMPUTADORES</t>
  </si>
  <si>
    <t>VALOR COMPUTADORES</t>
  </si>
  <si>
    <t>DDR 1</t>
  </si>
  <si>
    <t>V.R</t>
  </si>
  <si>
    <t>DDR 2</t>
  </si>
  <si>
    <t>ANTONIA SANTOS (LOS OLIVOS)</t>
  </si>
  <si>
    <t>BANCO DE ARENA</t>
  </si>
  <si>
    <t xml:space="preserve"> TOTAL</t>
  </si>
  <si>
    <t>Discos Duros IDE</t>
  </si>
  <si>
    <t>Discos Duros SATA</t>
  </si>
  <si>
    <t>FUENTE DE PODER</t>
  </si>
  <si>
    <t>Estabilizadores</t>
  </si>
  <si>
    <t>unidades CD IDE</t>
  </si>
  <si>
    <t>UNIDADES DVD SATA</t>
  </si>
  <si>
    <t xml:space="preserve">SEDE ADMINISTRATIVA </t>
  </si>
  <si>
    <t>BUS SATA</t>
  </si>
  <si>
    <t>CASE COMPUTADOR</t>
  </si>
  <si>
    <t>TRAJETA RED PCI</t>
  </si>
  <si>
    <t xml:space="preserve">TRAJETA RED PCIEXP </t>
  </si>
  <si>
    <t>MEMORIA RAM DDR3</t>
  </si>
  <si>
    <t>ROUTER INHALAMBRICO</t>
  </si>
  <si>
    <t>SHITCH 8 PUERTOS</t>
  </si>
  <si>
    <t>cabezal Impresoras matriz 80</t>
  </si>
  <si>
    <t>cabezal Impresoras matriz 120</t>
  </si>
  <si>
    <t>bus datos Impresora matriz</t>
  </si>
  <si>
    <t>Piñoneria impresora laser</t>
  </si>
  <si>
    <t>ACETATOS IMOP. LASER</t>
  </si>
  <si>
    <t>PANEL FRONTAL EPSON MATRIX80</t>
  </si>
  <si>
    <t>REPUESTOS (board -demas accesorios de la CPU E impresoras)</t>
  </si>
  <si>
    <t>IMPRESORAS LASER PROFESIONAL</t>
  </si>
  <si>
    <t>VR.</t>
  </si>
  <si>
    <t>CARACTERISTICAS</t>
  </si>
  <si>
    <t xml:space="preserve">CANTIDAD </t>
  </si>
  <si>
    <t>VR . UNITARIO</t>
  </si>
  <si>
    <t>ESTACION REPETIDORA MARCA MOTOROLA  DGR - 617 HP</t>
  </si>
  <si>
    <t xml:space="preserve">BANDA DE VHF- 45 VATIOS DE POTENCIA SISTEMA DIGITAL TDMA -  ANTENA DE CUADRO DIPOLOS MODELO DB - 224 A - KIT DE 30 MTS DE CABLE DE 1/2" MARCA LMR - 600 CON CONECTORES - PROTECTOR CONTRA DESCARGAS ELECTRICAS EN NTENAMARCA POLYPHASERMODELO IS- 50NX - DUPLEXER MARCA SINCLAIRMODELO Q  -2220 - RED INALAMBRICA MARCA UBIQUITIMODELO NANOSTATION M5 - BATERIA ESTACIONARIA DE 12/100 AMP. EN ACIDO - INSTALACION Y PUESTA EN FUNCIONAMIENTO INCLUIDO VIATICOS </t>
  </si>
  <si>
    <t>RADIO TRASMISOR MOVIL MARCA MOTOROLA MODELO DGM - 8500 + LP</t>
  </si>
  <si>
    <t xml:space="preserve">BANDA DE VHF- 25 VATIOS DE POTENCIA SISTEMA DIGITAL TDMA -  PANTALLA ALFA NUMERICA A COLOR - HERRAJERIA A SUJETAR EL RADIO - MICROFONO CON CLIP CABLE DE ALIMENTACION  DC ANTENA DE 3dB CON PESTAÑA-INSTALACION DE EQUIPO </t>
  </si>
  <si>
    <t>RADIO TRASMISOR BASE  MARCA MOTOROLA MODELO DGM - 5500 LP</t>
  </si>
  <si>
    <t>BANDA DE VHF- 25 VATIOS DE POTENCIA SISTEMA DIGITAL TDMA -  PANTALLA ALFA NUMERICA A COLOR - HERRAJERIA A SUJETAR EL RADIO - MICROFONO CON CLIP CABLE DE ALIMENTACION  DC ANTENA BASE DE 2 DIPOLOS 6DbDE GANANCIA CON SOPORTE - KIT DE 30 MTS DE CABLE DE 1/2" CON CONECTORES - FUENTE REGULADADE 12 - 12 AMP. MARCA SAMLEX CON SOPORTE PARA RADIO - INSTALACION DE EQUIPO EN CADA IPS.</t>
  </si>
  <si>
    <t xml:space="preserve">RADIO TRASMISORPORTATIL   MARCA MOTOROLA MODELO DGP - 8550 </t>
  </si>
  <si>
    <t>BANDA DE VHF- 5 VATIOS DE POTENCIA SISTEMA DIGITAL TDMA -  BATERIA DE ION LITIO 2,150 AMP -  ANTENA KLIP SUJETADOR - CARGADOR DE BATERIA</t>
  </si>
  <si>
    <t>SOFTWARE DE DESPACHO MARCA TRBONET MODELO ENTERPRICE MODELO 4.0.3</t>
  </si>
  <si>
    <t>CATALAGO ADJUNTO - INSTALACION COMPUTADOR LENOVO C540 - WIN8 - PROCESADOR G2030 DE 3GHZ - RAM DE 4G DDR 1333 - DISCO DURO DE 1T - PANTALLA DE 23 PULGADAS - RED Y WIFI - NO TOUCH</t>
  </si>
  <si>
    <t>PANTALLA LED DE 40" MARCA SAMSUNG MODELO MD - 40 C.</t>
  </si>
  <si>
    <t>CARPETAS PLASTICA LEGAJADORA VARIOS COLORES</t>
  </si>
  <si>
    <t>LAPICERO TINTA COLOR AZUL</t>
  </si>
  <si>
    <t>LAPICERO TINTA ROJA</t>
  </si>
  <si>
    <t>LAPICERO TINTA VERDE</t>
  </si>
  <si>
    <t>LAPICERO TINTA  NEGRA</t>
  </si>
  <si>
    <t>BOLIGRAFO  NEGRO</t>
  </si>
  <si>
    <t>BOLIGRAFO ROJO</t>
  </si>
  <si>
    <t>MARCADOR PERMANENTE BEROL NEGRO</t>
  </si>
  <si>
    <t>TABLAS SEPARADORAS</t>
  </si>
  <si>
    <t>SOBRE MANILA EXTRAOFICIO RADIOGRAFIA</t>
  </si>
  <si>
    <t>NOTAS DE ENFERMERIA ROSADA</t>
  </si>
  <si>
    <t>MESA PARA TOMA DE MUESTRAS</t>
  </si>
  <si>
    <t>VLR UNITARIO</t>
  </si>
  <si>
    <t>VLR TOTAL</t>
  </si>
  <si>
    <t>PIPETA AUTOMATICA 5-50  µl</t>
  </si>
  <si>
    <t>PIPETA AUTOMATICA 100-500  µl</t>
  </si>
  <si>
    <t>PIPETA AUTOMATICA 1000  µl</t>
  </si>
  <si>
    <t>DESIONIZADORES</t>
  </si>
  <si>
    <t xml:space="preserve">CAMARA DE FLUJO LAMINAR </t>
  </si>
  <si>
    <t>EXTINTOR POLVO QUIMICO SECO DE 10LBS BC</t>
  </si>
  <si>
    <t>MANTENIMIENTO EXTINTORES PARA LAS IPS , POLICLINICO Y UNIDADES BASICAS DE LA   E.S.E IMSALUD  2015</t>
  </si>
  <si>
    <t>LAMINAS CONCAVAS PARA COLORACION GOTA GRUESA</t>
  </si>
  <si>
    <t>INCUBADORA ESTABLE ELECTROTERMICA</t>
  </si>
  <si>
    <t>VIDEO-BEAM</t>
  </si>
  <si>
    <t>MEMORIA EXTRAIBLE</t>
  </si>
  <si>
    <t xml:space="preserve">SEDE  ADMINISTRATIVA </t>
  </si>
  <si>
    <t>RECARGA</t>
  </si>
  <si>
    <t>MANTENIMIENTO</t>
  </si>
  <si>
    <t>EXTINTOR POLVO QUIMICO SECO DE 5 LBS BC</t>
  </si>
  <si>
    <t>REPUESTOS Y ACCESORIOS PARA MANTENIMIENTO</t>
  </si>
  <si>
    <t xml:space="preserve">ESCRITORIOS </t>
  </si>
  <si>
    <t>SILLAS ERGONOMICAS</t>
  </si>
  <si>
    <t>SEDE  ADMINISTRATIVA</t>
  </si>
  <si>
    <t>BOTIQUINES PARA LAS IPS DE LA ESE IMSALUD - 2015</t>
  </si>
  <si>
    <t>ALCOHOL 240ML</t>
  </si>
  <si>
    <t>ALGODÓN 50 GR</t>
  </si>
  <si>
    <t>GUANTES 100 UNDS</t>
  </si>
  <si>
    <t>ISODINE BACTRODERM 120ML</t>
  </si>
  <si>
    <t xml:space="preserve">ISOPOS </t>
  </si>
  <si>
    <t>GASA</t>
  </si>
  <si>
    <t>MICROPORE</t>
  </si>
  <si>
    <t>JERINGAS 5CC</t>
  </si>
  <si>
    <t>AGUA OXIGENADA 120ML</t>
  </si>
  <si>
    <t>ACETAMINOFEN TABLETAS 30UNDS</t>
  </si>
  <si>
    <t>DICLOFENACO TABLETAS 10 UNDS</t>
  </si>
  <si>
    <t>DICLOFENACO AMPOLLAS 10 UNDS</t>
  </si>
  <si>
    <t>BUSCAPINA TABLETAS 20 UNDS</t>
  </si>
  <si>
    <t>ALKA SELTZER 10 UNDS</t>
  </si>
  <si>
    <t xml:space="preserve">VENDA ELASTICA </t>
  </si>
  <si>
    <t>GENTAMICINA GOTAS</t>
  </si>
  <si>
    <t>CURITAS 20 UNDS</t>
  </si>
  <si>
    <t>TOALLAS HIGIENICAS 30 UNDS</t>
  </si>
  <si>
    <t>EXTINTOR DE SOLKAFLAN DE 9000GRS</t>
  </si>
  <si>
    <t>EXTINTOR DE SOLKAFLAN DE 3700 GRS</t>
  </si>
  <si>
    <t xml:space="preserve">LINTERNA </t>
  </si>
  <si>
    <t>TOTAL  VEHICULOS</t>
  </si>
  <si>
    <t>GASOLINA ECOLOGICA</t>
  </si>
  <si>
    <t>LA FLORESTA</t>
  </si>
  <si>
    <t>U. B. DE COMUNEROS</t>
  </si>
  <si>
    <t>U. B. LA LIBERTAD</t>
  </si>
  <si>
    <t>U. B. PUENTE BARCO</t>
  </si>
  <si>
    <t>AMIT (ACTOS MAL INTENCIONADOS A TERCEROS)</t>
  </si>
  <si>
    <t>MANTENIMIENTO PREVENTIVO  Y CORRECTIVO  PARA  MOTOBOMBAS</t>
  </si>
  <si>
    <t>MANTENIMIENTO ELECTRICO PREVENTIVO Y CORRECTIVO PARA LAS I.P.S. DE LA E.S.E. IMSALUD - 2015 (VER SOPORTES)</t>
  </si>
  <si>
    <t>MANTENIMIENTO   ELECTRICO PREVENTIVO , CORRECTIVO  Y REPOSICION PARA LAS I.P.S. DE LA E.S.E. IMSALUD -  2015 (VER SOPORTES)</t>
  </si>
  <si>
    <t>MANTENIMIENTO PREVENTIVO  Y CORRECTIVO AIRES Y NEVERAS I.P.S. DE LA E.S.E. IMSALUD - 2015 (VER SOPORTES)</t>
  </si>
  <si>
    <t>SONDEO DE TUBERIAS</t>
  </si>
  <si>
    <t>CONDENSADORES DE AMALGAMA</t>
  </si>
  <si>
    <t>FILTRO ACEITE</t>
  </si>
  <si>
    <t>FILTRO AIRE</t>
  </si>
  <si>
    <t>BANDAS DE FRENOS</t>
  </si>
  <si>
    <t>REVISION FRENOS</t>
  </si>
  <si>
    <t>CAMBIO LLANTAS</t>
  </si>
  <si>
    <t>MANTTO ELECTRICO</t>
  </si>
  <si>
    <t>MANTTO MECANICO</t>
  </si>
  <si>
    <t>REPARACION GENERAL</t>
  </si>
  <si>
    <t>U.B LIBERTAD</t>
  </si>
  <si>
    <t>U.B PUENTE BARCO</t>
  </si>
  <si>
    <t>VLR UNIT</t>
  </si>
  <si>
    <t>VLR TOT</t>
  </si>
  <si>
    <t>VLRTOT</t>
  </si>
  <si>
    <t>EXTINTORES PARA LAS IPS , POLICLINICO Y UNIDADES BASICAS DE LA   E.S.E IMSALUD  2015</t>
  </si>
  <si>
    <t>VENTILADORES MOTOBOMBA</t>
  </si>
  <si>
    <t>MANTENIMIENTO PREVENTIVO Y CORRECTIVO PARA LAS I.P.S. DE LA E.S.E. IMSALUD - 2015</t>
  </si>
  <si>
    <t>MANTENIMIENTO BIENES</t>
  </si>
  <si>
    <t>(MATERIALES)</t>
  </si>
  <si>
    <t>MANTENIMIENTO INFRAESTRUCTURA IPS DE LA E.S.E DE IMSALUD</t>
  </si>
  <si>
    <t xml:space="preserve">MANTENIMIENTO  PREVENTIVO  Y  CORRECTIVO  INSTALACIONES  ELECTRICAS </t>
  </si>
  <si>
    <t xml:space="preserve">MANTENIMIENTO CORRECTIVO Y PREVENTIVO  AIRES ACONDICIONADOS - NEVERAS </t>
  </si>
  <si>
    <t>MANTENIMIENTO CORRECTIVO Y PREVENTIVO  EQUIPOS BIOMEDICOS</t>
  </si>
  <si>
    <t>MANTENIMIENTO PREVENTIVO  Y  CORRECTIVO  MUEBLES Y ENSERES</t>
  </si>
  <si>
    <t>MANTENIMIENTO PREVENTIVO  Y  CORRECTIVO EXTINTORES IPS ESE IMSALUD</t>
  </si>
  <si>
    <t>MANTENIMIENTO  PREVENTIVO Y CORRECTIVO PARA LAS IPS ESE IMSALUD</t>
  </si>
  <si>
    <t>MANTENIMIENTO  LAVADO TANQUES</t>
  </si>
  <si>
    <t>MANTENIMIENTO  PREVENTIVO  Y  CORRECTIVO  VEHICULOS Y MOTOS</t>
  </si>
  <si>
    <t>MANTENIMIENTO  PREVENTIVO  Y  CORRECTIVO EQUIPOS ODONTOLOGICOS</t>
  </si>
  <si>
    <t>MANTENIMIENTO  PREVENTIVO  Y  CORRECTIVO EQUIPOS LABORATORIO</t>
  </si>
  <si>
    <t>MANTENIMIENTO  PREVENTIVO  Y  CORRECTIVO EQUIPOS   DE CIRUGIA SALA DE PARTOS</t>
  </si>
  <si>
    <t>MANTENIMIENTO  PREVENTIVO  Y  CORRECTIVO EQUIPOS   DE IMAGENOLOGIA</t>
  </si>
  <si>
    <t>MANTENIMIENTO  PREVENTIVO  Y  CORRECTIVO EQUIPOS   ELECTROMECANICOS</t>
  </si>
  <si>
    <t>MANTENIMIENTO  PREVENTIVO  Y  CORRECTIVO EQUIPOS  DE COMPUTO E IMPRESORAS</t>
  </si>
  <si>
    <t>(MANO DE OBRA)</t>
  </si>
  <si>
    <t>DOTACION PERSONAL ADMINISTRATIVO/OPERATIVO - 2015</t>
  </si>
  <si>
    <t xml:space="preserve">PRODUCTOS FARMACEUTICOS - MATERIAL MEDICO QUIRURGICO - ODONTOLOGICO - LABORATORIO - RAYOS X </t>
  </si>
  <si>
    <t>INSUMOS MEDICAMENTOS</t>
  </si>
  <si>
    <t xml:space="preserve">PRESENTACION </t>
  </si>
  <si>
    <t xml:space="preserve">VALOR UNITARIO </t>
  </si>
  <si>
    <t>ALCOHOL ANTISEPTICO X 1000 CC LITRO</t>
  </si>
  <si>
    <t>ISODINE SOLUCION  X120 ML</t>
  </si>
  <si>
    <t>FCO X 120 ML</t>
  </si>
  <si>
    <t>ISODINE ESPUMA X 120 ML</t>
  </si>
  <si>
    <t>FRASCO X 120 ML</t>
  </si>
  <si>
    <t xml:space="preserve">QUIRUCIDAL X 1000 CC LITRO </t>
  </si>
  <si>
    <t>QUIRUGER X 3750 ML</t>
  </si>
  <si>
    <t>QUIRUGER X 1000 CC LITRO</t>
  </si>
  <si>
    <t>CONDUGEL X 240 ML</t>
  </si>
  <si>
    <t>FRASCO X 240 ML</t>
  </si>
  <si>
    <t xml:space="preserve">SUPRAGEL X 1000 CC </t>
  </si>
  <si>
    <t>FRASCO X 1000 ML</t>
  </si>
  <si>
    <t xml:space="preserve">SUPRAGEL X 240 CC </t>
  </si>
  <si>
    <t xml:space="preserve">DETERGINE X 1000 CC </t>
  </si>
  <si>
    <t>INSUMOS ESTERILIZANTES - 2015</t>
  </si>
  <si>
    <t xml:space="preserve">ALIMENTACION HOSPITALARIA </t>
  </si>
  <si>
    <t xml:space="preserve">GUANTES TALLA S </t>
  </si>
  <si>
    <t>CAJA X 100 UNDS</t>
  </si>
  <si>
    <t>JERINGA 5CC</t>
  </si>
  <si>
    <t>UNDS</t>
  </si>
  <si>
    <t>SOLUCION SALINA 09%</t>
  </si>
  <si>
    <t>PEROXIDO DE HIDROGENO</t>
  </si>
  <si>
    <t>FRASCO X 500ML</t>
  </si>
  <si>
    <t>PAQUETE 500GRS</t>
  </si>
  <si>
    <t>ALGODÓN HOSPITALARIO</t>
  </si>
  <si>
    <t xml:space="preserve">GORRO DESECHABLE </t>
  </si>
  <si>
    <t>TAPABOCAS No. 95</t>
  </si>
  <si>
    <t xml:space="preserve">FRASCO PLASTICO BOCA ANCHA TAPA ROSCA </t>
  </si>
  <si>
    <t>ACETATO DE MEDROXIPROGESTERONA 25MG + CIPIONATO DE ESTRADIOL 5MG</t>
  </si>
  <si>
    <t>ACETATO DE MEDROPROGESTERONA 150 MG</t>
  </si>
  <si>
    <t>LEVONGESTREL 150MCG + ETINILESTRADIOS 30MCG</t>
  </si>
  <si>
    <t>LEVONGESTREL 0,03MG</t>
  </si>
  <si>
    <t>CONDONES MASCULINOS</t>
  </si>
  <si>
    <t>DIU</t>
  </si>
  <si>
    <t>IMPLANTE SUDERMICO</t>
  </si>
  <si>
    <t>ACIDO FOLICO</t>
  </si>
  <si>
    <t>SULFATO FERROSO</t>
  </si>
  <si>
    <t>CARBONATO DE CALCIO</t>
  </si>
  <si>
    <t>ESPECULOS TALLA S</t>
  </si>
  <si>
    <t>ESPECULOS TALLA M</t>
  </si>
  <si>
    <t>ESPECULOS TALLA L</t>
  </si>
  <si>
    <t xml:space="preserve">CITOFIJADOR </t>
  </si>
  <si>
    <t>SPRAY</t>
  </si>
  <si>
    <t xml:space="preserve">TAPABOCAS </t>
  </si>
  <si>
    <t>CAJA X 50 UNDS</t>
  </si>
  <si>
    <t>REPUBLICA DE COLOMBIA</t>
  </si>
  <si>
    <t>MUNICIPIO SAN JOSE DE CUCUTA</t>
  </si>
  <si>
    <t>PLAN DE COMPRAS</t>
  </si>
  <si>
    <t>AMPLIACIÓN CONSTRUCCION Y DOTACIÓN ORGANISMOS DE SALUD</t>
  </si>
  <si>
    <t xml:space="preserve">PROGRAMAS DE INVERSION  </t>
  </si>
  <si>
    <t>AMPLIACION, CONSTRUCCION Y DOTACION ORGANISMOS DE SALUD</t>
  </si>
  <si>
    <t xml:space="preserve">CONSTRUCCION Y AMPLIACION IPS DE LAS E.S.E IMSALUD </t>
  </si>
  <si>
    <t xml:space="preserve"> E.S.E.  IMSALUD </t>
  </si>
  <si>
    <t xml:space="preserve">COSTOS CONSTRUCCION Y AMPLIACION  IPS DE LA E.S.E. IMSALUD </t>
  </si>
  <si>
    <t xml:space="preserve">AÑO 2015 </t>
  </si>
  <si>
    <t>PRESUPUESTO  GENERAL</t>
  </si>
  <si>
    <t>PRESUPUESTO MANO DE OBRA</t>
  </si>
  <si>
    <t>PRESUPUESTO MATERIALES</t>
  </si>
  <si>
    <t>CONSTRUCCION  TERCERA ETAPA AGUA CLARA</t>
  </si>
  <si>
    <t>ZONA HOSPITALIZACION / RAMPA Y PUNTO FIJO</t>
  </si>
  <si>
    <t>INSTALACIONES REDES:  ELECTRICAS - OXIGENO - ESTRUCTURADO - LLAMADO DE ENFERMERAS</t>
  </si>
  <si>
    <t>PLOMADO AREA RX  GENERAL Y RAYOS X ODONTOLOGICO</t>
  </si>
  <si>
    <t>SUMINISTRO E INSTALACION PLANTA ELECTRICA     ( Incluye transferencia , cabina , acometida, y adecuacion area) .</t>
  </si>
  <si>
    <t>ZONAS EXTERIORES - TANQUE SUBTERRANEO - POZO PUNTILLO</t>
  </si>
  <si>
    <t>CONSTRUCCION SEGUNDA ETAPA COMUNEROS</t>
  </si>
  <si>
    <t>ZONA  DE HOSPITALIZACION</t>
  </si>
  <si>
    <t>SUMINISTRO E INSTALACION PLANTA ELECTRICA ( Incluye tyransferencia , cabina , acometida, y adecuacion area) .</t>
  </si>
  <si>
    <t>CONSTRUCCION PRIMERA ETAPA LOMA BOLIVAR</t>
  </si>
  <si>
    <t>ZONA  DE RX,, SALON MULTIPLE Y HOSPITALIZACION</t>
  </si>
  <si>
    <t>SUMINISTRO E INSTALACION PLANTA ELECTRICA     ( Incluye tyransferencia , cabina , acometida, y adecuacion area) .</t>
  </si>
  <si>
    <t>AMPLIACION Y CONSTRUCCCION POLICLINICO</t>
  </si>
  <si>
    <t>CONSTRUCCION  ZONA DE CIRUGIA Y MANTENIMIENTO URGENCIAS</t>
  </si>
  <si>
    <t>SUMINISTRO E INSTALACION PLANTA ELECTRICA           ( Incluye tyransferencia , cabina , acometida, y adecuacion area) .</t>
  </si>
  <si>
    <t xml:space="preserve">PLOMADO AREA RX  GENERAL </t>
  </si>
  <si>
    <t>CONSTRUCCION Y ADECUACION SANTA ANA</t>
  </si>
  <si>
    <t>ADECUACION  CONSULTA EXTERNA</t>
  </si>
  <si>
    <t>ZONAS EXTERIORES CONSTRUCCION  DE  ANDENES - SARDINELES Y CUNETAS</t>
  </si>
  <si>
    <t>PLOMADO AREA RAYOS X ODONTOLOGICO</t>
  </si>
  <si>
    <t>ALPES</t>
  </si>
  <si>
    <t>RECONSTRUCCION  ZONA DECONSULTA EXTERNA</t>
  </si>
  <si>
    <t>SUMINISTRO E INSTALACION PLANTA ELECTRICA    ( Incluye transferencia , cabina , acometida, y adecuacion area) .</t>
  </si>
  <si>
    <t>FLORESTA</t>
  </si>
  <si>
    <t xml:space="preserve">SUMINISTRO E INSTALACION PLANTAS 24 IPS URBANAS </t>
  </si>
  <si>
    <t xml:space="preserve">HOSPITAL DE SEGUNDO NIVEL COMUNA 6 DE      4000 M2 </t>
  </si>
  <si>
    <t>LAVANTAMIENTO TOPOGRAFICO</t>
  </si>
  <si>
    <t>ESTUDIO GEOTECNICO / M2  ($ 4905)</t>
  </si>
  <si>
    <t>DISEÑO ARQUITECTONICO / M2  ($ 20000)</t>
  </si>
  <si>
    <t>DISEÑO ESTRUCTURAL/M2  ($ 14000)</t>
  </si>
  <si>
    <t>DISEÑO URBANO / M2 ($ 12000)</t>
  </si>
  <si>
    <t>DISEÑO HIDRAULICO Y SANITARIO ($ 6200)</t>
  </si>
  <si>
    <t>DISEÑO ELECTRICO ($ 5500)</t>
  </si>
  <si>
    <t>DISEÑO RED DE OXIGENO ($ 5500)</t>
  </si>
  <si>
    <t>DISEÑO RED DE LLAMADO DE ENFERMERAS               ($ 5500)</t>
  </si>
  <si>
    <t>DISEÑO RED DE GASES MEDICINALES ($ 5500)</t>
  </si>
  <si>
    <t>DISEÑO RED DE AIRES ACONDICIONADOS($ 5500)</t>
  </si>
  <si>
    <t>DISEÑO RED DE CABLEADO ESTRUCTURADO              ($ 5500)</t>
  </si>
  <si>
    <t xml:space="preserve">LICENCIA DE CONTRUCCION </t>
  </si>
  <si>
    <t xml:space="preserve">CONSTRUCCION DEL HOSPITAL </t>
  </si>
  <si>
    <t xml:space="preserve">GRAN  TOTAL </t>
  </si>
  <si>
    <t>ADQUISICIÓN DE BIENES</t>
  </si>
  <si>
    <t xml:space="preserve">ADQUISICION DE BIENES </t>
  </si>
  <si>
    <t>UTILES DE OFICINA</t>
  </si>
  <si>
    <t>CANECAS, PAPELERAS Y ESTIBAS</t>
  </si>
  <si>
    <t>BOTIQUINES IPS ESE IMSALUD</t>
  </si>
  <si>
    <t>COMPUTACION Y COMUNICACIÓN</t>
  </si>
  <si>
    <t>VEHICULOS PARA LAS IPS Y SEDE ADMINISTRATIVA</t>
  </si>
  <si>
    <t>EQUIPOS LABORATORIO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</si>
</sst>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64" formatCode="&quot;$&quot;\ #,##0_);[Red]\(&quot;$&quot;\ #,##0\)"/>
    <numFmt numFmtId="165" formatCode="_(&quot;$&quot;* #,##0.00_);_(&quot;$&quot;* \(#,##0.00\);_(&quot;$&quot;* &quot;-&quot;??_);_(@_)"/>
    <numFmt numFmtId="166" formatCode="&quot;$&quot;\ #,##0;[Red]&quot;$&quot;\ \-#,##0"/>
    <numFmt numFmtId="167" formatCode="&quot;$&quot;\ #,##0"/>
    <numFmt numFmtId="168" formatCode="#,##0;[Red]#,##0"/>
    <numFmt numFmtId="169" formatCode="_([$$-240A]\ * #,##0_);_([$$-240A]\ * \(#,##0\);_([$$-240A]\ * &quot;-&quot;??_);_(@_)"/>
  </numFmts>
  <fonts count="5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9"/>
      <color rgb="FF000000"/>
      <name val="Arial"/>
      <family val="2"/>
    </font>
    <font>
      <sz val="10"/>
      <color theme="1"/>
      <name val="Arial"/>
      <family val="2"/>
    </font>
    <font>
      <b/>
      <sz val="11"/>
      <color theme="1"/>
      <name val="Arial"/>
      <family val="2"/>
    </font>
    <font>
      <b/>
      <sz val="10"/>
      <color theme="1"/>
      <name val="Arial"/>
      <family val="2"/>
    </font>
    <font>
      <b/>
      <sz val="8"/>
      <color theme="1"/>
      <name val="Arial"/>
      <family val="2"/>
    </font>
    <font>
      <sz val="8"/>
      <color theme="1"/>
      <name val="Arial"/>
      <family val="2"/>
    </font>
    <font>
      <sz val="10"/>
      <name val="Arial"/>
      <family val="2"/>
    </font>
    <font>
      <b/>
      <sz val="9"/>
      <name val="Arial"/>
      <family val="2"/>
    </font>
    <font>
      <b/>
      <sz val="10"/>
      <name val="Arial"/>
      <family val="2"/>
    </font>
    <font>
      <sz val="11"/>
      <name val="Calibri"/>
      <family val="2"/>
      <scheme val="minor"/>
    </font>
    <font>
      <b/>
      <sz val="10"/>
      <color rgb="FFFF0000"/>
      <name val="Arial"/>
      <family val="2"/>
    </font>
    <font>
      <b/>
      <sz val="8"/>
      <name val="Arial"/>
      <family val="2"/>
    </font>
    <font>
      <sz val="12"/>
      <name val="Arial"/>
      <family val="2"/>
    </font>
    <font>
      <b/>
      <sz val="11"/>
      <name val="Arial"/>
      <family val="2"/>
    </font>
    <font>
      <sz val="8"/>
      <name val="Arial"/>
      <family val="2"/>
    </font>
    <font>
      <b/>
      <sz val="12"/>
      <name val="Arial"/>
      <family val="2"/>
    </font>
    <font>
      <sz val="9"/>
      <name val="Arial"/>
      <family val="2"/>
    </font>
    <font>
      <b/>
      <sz val="7"/>
      <color theme="1"/>
      <name val="Arial"/>
      <family val="2"/>
    </font>
    <font>
      <sz val="10"/>
      <color rgb="FFFF0000"/>
      <name val="Arial"/>
      <family val="2"/>
    </font>
    <font>
      <sz val="8"/>
      <color rgb="FF000000"/>
      <name val="Arial"/>
      <family val="2"/>
    </font>
    <font>
      <b/>
      <sz val="9"/>
      <color theme="1"/>
      <name val="Arial"/>
      <family val="2"/>
    </font>
    <font>
      <sz val="9"/>
      <color theme="1"/>
      <name val="Arial"/>
      <family val="2"/>
    </font>
    <font>
      <sz val="8"/>
      <color rgb="FF000000"/>
      <name val="Tahoma"/>
      <family val="2"/>
    </font>
    <font>
      <b/>
      <sz val="8"/>
      <color rgb="FF000000"/>
      <name val="Arial"/>
      <family val="2"/>
    </font>
    <font>
      <b/>
      <sz val="9"/>
      <color rgb="FF000000"/>
      <name val="Arial"/>
      <family val="2"/>
    </font>
    <font>
      <sz val="11"/>
      <color theme="1"/>
      <name val="Arial"/>
      <family val="2"/>
    </font>
    <font>
      <sz val="10"/>
      <color theme="1"/>
      <name val="Calibri"/>
      <family val="2"/>
      <scheme val="minor"/>
    </font>
    <font>
      <sz val="11"/>
      <name val="Arial"/>
      <family val="2"/>
    </font>
    <font>
      <sz val="10"/>
      <color theme="1"/>
      <name val="Arial Narrow"/>
      <family val="2"/>
    </font>
    <font>
      <i/>
      <sz val="8"/>
      <color theme="1"/>
      <name val="Arial"/>
      <family val="2"/>
    </font>
    <font>
      <b/>
      <sz val="10"/>
      <color rgb="FF000000"/>
      <name val="Arial"/>
      <family val="2"/>
    </font>
    <font>
      <sz val="11"/>
      <color rgb="FFFF0000"/>
      <name val="Calibri"/>
      <family val="2"/>
      <scheme val="minor"/>
    </font>
    <font>
      <sz val="9"/>
      <color rgb="FFFF0000"/>
      <name val="Arial"/>
      <family val="2"/>
    </font>
    <font>
      <sz val="8"/>
      <color rgb="FFFF0000"/>
      <name val="Arial"/>
      <family val="2"/>
    </font>
    <font>
      <sz val="9"/>
      <color theme="1"/>
      <name val="Arial Unicode MS"/>
      <family val="2"/>
    </font>
    <font>
      <b/>
      <sz val="9"/>
      <color theme="1"/>
      <name val="Verdana"/>
      <family val="2"/>
    </font>
    <font>
      <sz val="9"/>
      <color theme="1"/>
      <name val="Verdana"/>
      <family val="2"/>
    </font>
    <font>
      <b/>
      <sz val="11"/>
      <name val="Calibri"/>
      <family val="2"/>
      <scheme val="minor"/>
    </font>
    <font>
      <sz val="9"/>
      <name val="Tahoma"/>
      <family val="2"/>
    </font>
    <font>
      <sz val="9"/>
      <color theme="1"/>
      <name val="Calibri"/>
      <family val="2"/>
      <scheme val="minor"/>
    </font>
    <font>
      <sz val="9"/>
      <color rgb="FF000000"/>
      <name val="Tahoma"/>
      <family val="2"/>
    </font>
    <font>
      <b/>
      <sz val="12"/>
      <color theme="1"/>
      <name val="Calibri"/>
      <family val="2"/>
      <scheme val="minor"/>
    </font>
    <font>
      <b/>
      <sz val="9"/>
      <color theme="1"/>
      <name val="Calibri"/>
      <family val="2"/>
      <scheme val="minor"/>
    </font>
    <font>
      <sz val="9"/>
      <name val="Calibri"/>
      <family val="2"/>
      <scheme val="minor"/>
    </font>
    <font>
      <b/>
      <sz val="9"/>
      <name val="Calibri"/>
      <family val="2"/>
      <scheme val="minor"/>
    </font>
    <font>
      <sz val="8"/>
      <name val="Tahoma"/>
      <family val="2"/>
    </font>
    <font>
      <b/>
      <sz val="12"/>
      <color rgb="FF000000"/>
      <name val="Arial"/>
      <family val="2"/>
    </font>
    <font>
      <sz val="11"/>
      <color rgb="FF000000"/>
      <name val="Arial"/>
      <family val="2"/>
    </font>
    <font>
      <b/>
      <sz val="11"/>
      <color rgb="FF000000"/>
      <name val="Arial"/>
      <family val="2"/>
    </font>
    <font>
      <sz val="20"/>
      <color theme="1"/>
      <name val="Vineta BT"/>
      <family val="5"/>
    </font>
    <font>
      <sz val="26"/>
      <color theme="1"/>
      <name val="Vineta BT"/>
      <family val="5"/>
    </font>
    <font>
      <sz val="22"/>
      <color theme="1"/>
      <name val="Vineta BT"/>
      <family val="5"/>
    </font>
    <font>
      <sz val="12"/>
      <color theme="1"/>
      <name val="Arial"/>
      <family val="2"/>
    </font>
    <font>
      <b/>
      <sz val="14"/>
      <name val="Arial"/>
      <family val="2"/>
    </font>
    <font>
      <sz val="10"/>
      <color indexed="8"/>
      <name val="Arial"/>
      <family val="2"/>
    </font>
  </fonts>
  <fills count="7">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1133">
    <xf numFmtId="0" fontId="0" fillId="0" borderId="0" xfId="0"/>
    <xf numFmtId="0" fontId="5" fillId="0" borderId="3" xfId="0" applyFont="1" applyBorder="1"/>
    <xf numFmtId="0" fontId="0" fillId="0" borderId="0" xfId="0" applyFill="1" applyBorder="1"/>
    <xf numFmtId="0" fontId="0" fillId="0" borderId="0" xfId="0" applyBorder="1"/>
    <xf numFmtId="0" fontId="5" fillId="0" borderId="3" xfId="0" applyFont="1" applyBorder="1" applyAlignment="1">
      <alignment wrapText="1"/>
    </xf>
    <xf numFmtId="0" fontId="5" fillId="0" borderId="3" xfId="0" applyFont="1" applyBorder="1" applyAlignment="1">
      <alignment horizontal="center"/>
    </xf>
    <xf numFmtId="0" fontId="23" fillId="0" borderId="3" xfId="0" applyFont="1" applyBorder="1" applyAlignment="1">
      <alignment vertical="top" wrapText="1"/>
    </xf>
    <xf numFmtId="0" fontId="26" fillId="0" borderId="3" xfId="0" applyFont="1" applyBorder="1" applyAlignment="1">
      <alignment vertical="top" wrapText="1"/>
    </xf>
    <xf numFmtId="0" fontId="5" fillId="0" borderId="0" xfId="0" applyFont="1" applyFill="1" applyBorder="1"/>
    <xf numFmtId="0" fontId="0" fillId="0" borderId="0" xfId="0"/>
    <xf numFmtId="0" fontId="13" fillId="0" borderId="0" xfId="0" applyFont="1"/>
    <xf numFmtId="0" fontId="0" fillId="0" borderId="0" xfId="0" applyFill="1"/>
    <xf numFmtId="0" fontId="9" fillId="0" borderId="3" xfId="0" applyFont="1" applyBorder="1" applyAlignment="1">
      <alignment horizontal="justify" vertical="center" wrapText="1"/>
    </xf>
    <xf numFmtId="0" fontId="5" fillId="0" borderId="3" xfId="0" applyFont="1" applyBorder="1" applyAlignment="1">
      <alignment vertical="center" wrapText="1"/>
    </xf>
    <xf numFmtId="0" fontId="7" fillId="2" borderId="3" xfId="0" applyFont="1" applyFill="1" applyBorder="1" applyAlignment="1">
      <alignment horizontal="center" vertical="center" wrapText="1"/>
    </xf>
    <xf numFmtId="0" fontId="5" fillId="0" borderId="3" xfId="0" applyFont="1" applyBorder="1" applyAlignment="1">
      <alignment vertical="center"/>
    </xf>
    <xf numFmtId="0" fontId="7"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7" fillId="2" borderId="3" xfId="0" applyFont="1" applyFill="1" applyBorder="1" applyAlignment="1">
      <alignment horizontal="center" vertical="center"/>
    </xf>
    <xf numFmtId="0" fontId="2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vertical="center" wrapText="1"/>
    </xf>
    <xf numFmtId="0" fontId="5" fillId="0" borderId="0" xfId="0" applyFont="1"/>
    <xf numFmtId="0" fontId="5" fillId="0" borderId="0" xfId="0" applyFont="1" applyFill="1"/>
    <xf numFmtId="0" fontId="7" fillId="0" borderId="3" xfId="0" applyFont="1" applyBorder="1" applyAlignment="1">
      <alignment horizontal="center" vertical="center" wrapText="1"/>
    </xf>
    <xf numFmtId="0" fontId="5" fillId="0" borderId="3" xfId="0" applyFont="1" applyBorder="1" applyAlignment="1">
      <alignment horizontal="center" vertical="center"/>
    </xf>
    <xf numFmtId="0" fontId="7" fillId="0" borderId="3" xfId="0" applyFont="1" applyBorder="1" applyAlignment="1">
      <alignment vertical="center"/>
    </xf>
    <xf numFmtId="0" fontId="30" fillId="0" borderId="3" xfId="0" applyFont="1" applyBorder="1"/>
    <xf numFmtId="0" fontId="7" fillId="0" borderId="3" xfId="0" applyFont="1" applyBorder="1" applyAlignment="1">
      <alignment horizontal="center" vertical="center" textRotation="90" wrapText="1"/>
    </xf>
    <xf numFmtId="0" fontId="24" fillId="4" borderId="24" xfId="0" applyFont="1" applyFill="1" applyBorder="1" applyAlignment="1">
      <alignment vertical="center"/>
    </xf>
    <xf numFmtId="0" fontId="24" fillId="4" borderId="25" xfId="0" applyFont="1" applyFill="1" applyBorder="1" applyAlignment="1">
      <alignment horizontal="center" vertical="center"/>
    </xf>
    <xf numFmtId="0" fontId="24" fillId="4" borderId="25" xfId="0" applyFont="1" applyFill="1" applyBorder="1" applyAlignment="1">
      <alignment horizontal="center" vertical="center" wrapText="1"/>
    </xf>
    <xf numFmtId="0" fontId="24" fillId="4" borderId="26" xfId="0" applyFont="1" applyFill="1" applyBorder="1" applyAlignment="1">
      <alignment horizontal="center" vertical="center"/>
    </xf>
    <xf numFmtId="0" fontId="5" fillId="0" borderId="27" xfId="0" applyFont="1" applyBorder="1" applyAlignment="1">
      <alignment horizontal="center" vertical="center"/>
    </xf>
    <xf numFmtId="0" fontId="5" fillId="0" borderId="16" xfId="0" applyFont="1" applyBorder="1" applyAlignment="1">
      <alignment vertical="center"/>
    </xf>
    <xf numFmtId="0" fontId="9" fillId="0" borderId="16" xfId="0" applyFont="1" applyBorder="1" applyAlignment="1">
      <alignment vertical="center" wrapText="1"/>
    </xf>
    <xf numFmtId="0" fontId="5" fillId="0" borderId="16" xfId="0" applyFont="1" applyBorder="1" applyAlignment="1">
      <alignment horizontal="center" vertical="center"/>
    </xf>
    <xf numFmtId="0" fontId="5" fillId="0" borderId="29" xfId="0" applyFont="1" applyBorder="1" applyAlignment="1">
      <alignment horizontal="center" vertical="center"/>
    </xf>
    <xf numFmtId="0" fontId="25" fillId="0" borderId="16" xfId="0" applyFont="1" applyBorder="1" applyAlignment="1">
      <alignment vertical="center"/>
    </xf>
    <xf numFmtId="0" fontId="32" fillId="0" borderId="3" xfId="0" applyFont="1" applyBorder="1" applyAlignment="1">
      <alignment vertical="center"/>
    </xf>
    <xf numFmtId="0" fontId="0" fillId="4" borderId="30" xfId="0" applyFill="1" applyBorder="1"/>
    <xf numFmtId="0" fontId="8" fillId="4" borderId="7" xfId="0" applyFont="1" applyFill="1" applyBorder="1" applyAlignment="1">
      <alignment horizontal="justify" vertical="center" wrapText="1"/>
    </xf>
    <xf numFmtId="0" fontId="7" fillId="4" borderId="7" xfId="0" applyFont="1" applyFill="1" applyBorder="1" applyAlignment="1">
      <alignment horizontal="center" vertical="center"/>
    </xf>
    <xf numFmtId="0" fontId="0" fillId="4" borderId="17" xfId="0" applyFill="1" applyBorder="1"/>
    <xf numFmtId="0" fontId="8" fillId="4" borderId="18" xfId="0" applyFont="1" applyFill="1" applyBorder="1" applyAlignment="1">
      <alignment horizontal="justify" vertical="center" wrapText="1"/>
    </xf>
    <xf numFmtId="0" fontId="7" fillId="4" borderId="18" xfId="0" applyFont="1" applyFill="1" applyBorder="1" applyAlignment="1">
      <alignment horizontal="center" vertical="center"/>
    </xf>
    <xf numFmtId="0" fontId="5" fillId="0" borderId="35" xfId="0" applyFont="1" applyBorder="1" applyAlignment="1">
      <alignment horizontal="center" vertical="center"/>
    </xf>
    <xf numFmtId="0" fontId="9" fillId="0" borderId="3" xfId="0" applyFont="1" applyBorder="1" applyAlignment="1">
      <alignment vertical="center" wrapText="1"/>
    </xf>
    <xf numFmtId="0" fontId="5" fillId="0" borderId="36" xfId="0" applyFont="1" applyBorder="1" applyAlignment="1">
      <alignment horizontal="justify" vertical="center" wrapText="1"/>
    </xf>
    <xf numFmtId="0" fontId="5" fillId="0" borderId="36"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38" xfId="0" applyFont="1" applyBorder="1" applyAlignment="1">
      <alignment horizontal="center" vertical="center"/>
    </xf>
    <xf numFmtId="0" fontId="7" fillId="4" borderId="44" xfId="0" applyFont="1" applyFill="1" applyBorder="1" applyAlignment="1">
      <alignment horizontal="center" vertical="center"/>
    </xf>
    <xf numFmtId="0" fontId="5" fillId="0" borderId="39" xfId="0" applyFont="1" applyBorder="1"/>
    <xf numFmtId="0" fontId="5" fillId="0" borderId="39" xfId="0" applyFont="1" applyBorder="1" applyAlignment="1">
      <alignment horizontal="center"/>
    </xf>
    <xf numFmtId="0" fontId="29" fillId="0" borderId="3" xfId="0" applyFont="1" applyBorder="1" applyAlignment="1">
      <alignment horizontal="justify" vertical="center" wrapText="1"/>
    </xf>
    <xf numFmtId="0" fontId="7" fillId="4" borderId="38" xfId="0" applyFont="1" applyFill="1" applyBorder="1" applyAlignment="1">
      <alignment vertical="center"/>
    </xf>
    <xf numFmtId="0" fontId="7" fillId="4" borderId="39" xfId="0" applyFont="1" applyFill="1" applyBorder="1" applyAlignment="1">
      <alignment horizontal="center" vertical="center"/>
    </xf>
    <xf numFmtId="0" fontId="7" fillId="4" borderId="39"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5" fillId="0" borderId="40" xfId="0" applyFont="1" applyBorder="1"/>
    <xf numFmtId="0" fontId="5" fillId="0" borderId="41" xfId="0" applyFont="1" applyBorder="1"/>
    <xf numFmtId="0" fontId="5" fillId="0" borderId="30" xfId="0" applyFont="1" applyBorder="1"/>
    <xf numFmtId="0" fontId="5" fillId="0" borderId="7" xfId="0" applyFont="1" applyBorder="1"/>
    <xf numFmtId="0" fontId="5" fillId="0" borderId="17" xfId="0" applyFont="1" applyBorder="1"/>
    <xf numFmtId="0" fontId="5" fillId="0" borderId="18" xfId="0" applyFont="1" applyBorder="1"/>
    <xf numFmtId="0" fontId="5" fillId="4" borderId="43" xfId="0" applyFont="1" applyFill="1" applyBorder="1"/>
    <xf numFmtId="0" fontId="5" fillId="4" borderId="44" xfId="0" applyFont="1" applyFill="1" applyBorder="1"/>
    <xf numFmtId="3" fontId="29" fillId="0" borderId="3" xfId="0" applyNumberFormat="1" applyFont="1" applyBorder="1" applyAlignment="1">
      <alignment horizontal="right" vertical="center" wrapText="1"/>
    </xf>
    <xf numFmtId="164" fontId="6" fillId="2" borderId="3" xfId="0" applyNumberFormat="1" applyFont="1" applyFill="1" applyBorder="1" applyAlignment="1">
      <alignment horizontal="right" vertical="center" wrapText="1"/>
    </xf>
    <xf numFmtId="0" fontId="23" fillId="0" borderId="3" xfId="0" applyFont="1" applyBorder="1" applyAlignment="1">
      <alignment horizontal="center"/>
    </xf>
    <xf numFmtId="0" fontId="23" fillId="3" borderId="3" xfId="0" applyFont="1" applyFill="1" applyBorder="1" applyAlignment="1">
      <alignment horizontal="right"/>
    </xf>
    <xf numFmtId="0" fontId="23" fillId="0" borderId="3" xfId="0" applyFont="1" applyBorder="1" applyAlignment="1">
      <alignment horizontal="right"/>
    </xf>
    <xf numFmtId="0" fontId="23" fillId="3" borderId="3" xfId="0" applyFont="1" applyFill="1" applyBorder="1" applyAlignment="1">
      <alignment horizontal="center"/>
    </xf>
    <xf numFmtId="0" fontId="27" fillId="2" borderId="3" xfId="0" applyFont="1" applyFill="1" applyBorder="1" applyAlignment="1">
      <alignment horizontal="right"/>
    </xf>
    <xf numFmtId="0" fontId="0" fillId="0" borderId="0" xfId="0"/>
    <xf numFmtId="0" fontId="0" fillId="0" borderId="0" xfId="0" applyBorder="1" applyAlignment="1">
      <alignment wrapText="1"/>
    </xf>
    <xf numFmtId="0" fontId="0" fillId="0" borderId="0" xfId="0" applyAlignment="1">
      <alignment wrapText="1"/>
    </xf>
    <xf numFmtId="0" fontId="31" fillId="0" borderId="3" xfId="0" applyFont="1" applyFill="1" applyBorder="1" applyAlignment="1">
      <alignment horizontal="center" wrapText="1"/>
    </xf>
    <xf numFmtId="3" fontId="0" fillId="0" borderId="0" xfId="0" applyNumberFormat="1"/>
    <xf numFmtId="3" fontId="0" fillId="0" borderId="0" xfId="0" applyNumberFormat="1" applyFill="1" applyBorder="1"/>
    <xf numFmtId="3" fontId="5" fillId="0" borderId="3" xfId="0" applyNumberFormat="1" applyFont="1" applyBorder="1" applyAlignment="1">
      <alignment horizontal="right" vertical="center"/>
    </xf>
    <xf numFmtId="3" fontId="5" fillId="3" borderId="3" xfId="0" applyNumberFormat="1" applyFont="1" applyFill="1" applyBorder="1" applyAlignment="1">
      <alignment horizontal="right" vertical="center"/>
    </xf>
    <xf numFmtId="3" fontId="7" fillId="0" borderId="3" xfId="0" applyNumberFormat="1" applyFont="1" applyBorder="1" applyAlignment="1">
      <alignment horizontal="right" vertical="center"/>
    </xf>
    <xf numFmtId="3" fontId="5" fillId="0" borderId="3" xfId="0" applyNumberFormat="1" applyFont="1" applyFill="1" applyBorder="1" applyAlignment="1">
      <alignment horizontal="right" vertical="center"/>
    </xf>
    <xf numFmtId="3" fontId="7" fillId="0" borderId="6" xfId="0" applyNumberFormat="1" applyFont="1" applyFill="1" applyBorder="1" applyAlignment="1">
      <alignment horizontal="right" vertical="center"/>
    </xf>
    <xf numFmtId="3" fontId="7" fillId="0" borderId="3" xfId="0" applyNumberFormat="1" applyFont="1" applyFill="1" applyBorder="1" applyAlignment="1">
      <alignment horizontal="right" vertical="center"/>
    </xf>
    <xf numFmtId="3" fontId="5" fillId="0" borderId="0" xfId="0" applyNumberFormat="1" applyFont="1" applyFill="1" applyBorder="1"/>
    <xf numFmtId="3" fontId="7" fillId="0" borderId="3" xfId="0" applyNumberFormat="1" applyFont="1" applyFill="1" applyBorder="1" applyAlignment="1">
      <alignment horizontal="center" vertical="center"/>
    </xf>
    <xf numFmtId="3" fontId="30" fillId="0" borderId="3" xfId="0" applyNumberFormat="1" applyFont="1" applyBorder="1"/>
    <xf numFmtId="3" fontId="5" fillId="0" borderId="16" xfId="0" applyNumberFormat="1" applyFont="1" applyBorder="1" applyAlignment="1">
      <alignment horizontal="right" vertical="center"/>
    </xf>
    <xf numFmtId="3" fontId="5" fillId="0" borderId="28" xfId="0" applyNumberFormat="1" applyFont="1" applyBorder="1" applyAlignment="1">
      <alignment horizontal="right" vertical="center"/>
    </xf>
    <xf numFmtId="3" fontId="7" fillId="4" borderId="8" xfId="0" applyNumberFormat="1" applyFont="1" applyFill="1" applyBorder="1" applyAlignment="1">
      <alignment vertical="center"/>
    </xf>
    <xf numFmtId="3" fontId="5" fillId="4" borderId="31" xfId="0" applyNumberFormat="1" applyFont="1" applyFill="1" applyBorder="1" applyAlignment="1">
      <alignment horizontal="right" vertical="center"/>
    </xf>
    <xf numFmtId="3" fontId="7" fillId="4" borderId="32" xfId="0" applyNumberFormat="1" applyFont="1" applyFill="1" applyBorder="1" applyAlignment="1">
      <alignment vertical="center"/>
    </xf>
    <xf numFmtId="3" fontId="7" fillId="4" borderId="33" xfId="0" applyNumberFormat="1" applyFont="1" applyFill="1" applyBorder="1" applyAlignment="1">
      <alignment horizontal="right" vertical="center"/>
    </xf>
    <xf numFmtId="3" fontId="2" fillId="0" borderId="2" xfId="0" applyNumberFormat="1" applyFont="1" applyBorder="1"/>
    <xf numFmtId="3" fontId="9" fillId="0" borderId="3" xfId="0" applyNumberFormat="1" applyFont="1" applyBorder="1" applyAlignment="1">
      <alignment horizontal="center" vertical="center" wrapText="1"/>
    </xf>
    <xf numFmtId="3" fontId="0" fillId="0" borderId="31" xfId="0" applyNumberFormat="1" applyBorder="1"/>
    <xf numFmtId="3" fontId="2" fillId="0" borderId="33" xfId="0" applyNumberFormat="1" applyFont="1" applyBorder="1"/>
    <xf numFmtId="3" fontId="5" fillId="0" borderId="36" xfId="0" applyNumberFormat="1" applyFont="1" applyBorder="1" applyAlignment="1">
      <alignment horizontal="right" vertical="center" wrapText="1"/>
    </xf>
    <xf numFmtId="3" fontId="5" fillId="0" borderId="37"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3" fontId="5" fillId="0" borderId="31" xfId="0" applyNumberFormat="1" applyFont="1" applyBorder="1" applyAlignment="1">
      <alignment horizontal="right" vertical="center" wrapText="1"/>
    </xf>
    <xf numFmtId="3" fontId="5" fillId="0" borderId="39" xfId="0" applyNumberFormat="1" applyFont="1" applyBorder="1" applyAlignment="1">
      <alignment horizontal="right" vertical="center" wrapText="1"/>
    </xf>
    <xf numFmtId="3" fontId="5" fillId="0" borderId="33" xfId="0" applyNumberFormat="1" applyFont="1" applyBorder="1" applyAlignment="1">
      <alignment horizontal="right" vertical="center" wrapText="1"/>
    </xf>
    <xf numFmtId="3" fontId="5" fillId="0" borderId="41" xfId="0" applyNumberFormat="1" applyFont="1" applyBorder="1"/>
    <xf numFmtId="3" fontId="5" fillId="0" borderId="37" xfId="0" applyNumberFormat="1" applyFont="1" applyBorder="1"/>
    <xf numFmtId="3" fontId="5" fillId="0" borderId="7" xfId="0" applyNumberFormat="1" applyFont="1" applyBorder="1"/>
    <xf numFmtId="3" fontId="5" fillId="0" borderId="31" xfId="0" applyNumberFormat="1" applyFont="1" applyFill="1" applyBorder="1" applyAlignment="1">
      <alignment horizontal="right" vertical="center" wrapText="1"/>
    </xf>
    <xf numFmtId="3" fontId="5" fillId="0" borderId="18" xfId="0" applyNumberFormat="1" applyFont="1" applyBorder="1"/>
    <xf numFmtId="3" fontId="7" fillId="0" borderId="33" xfId="0" applyNumberFormat="1" applyFont="1" applyBorder="1"/>
    <xf numFmtId="37" fontId="7" fillId="4" borderId="42" xfId="1" applyNumberFormat="1" applyFont="1" applyFill="1" applyBorder="1"/>
    <xf numFmtId="0" fontId="0" fillId="0" borderId="0" xfId="0"/>
    <xf numFmtId="0" fontId="35" fillId="0" borderId="3" xfId="0" applyFont="1" applyBorder="1"/>
    <xf numFmtId="0" fontId="22" fillId="0" borderId="3" xfId="0" applyFont="1" applyBorder="1"/>
    <xf numFmtId="0" fontId="22" fillId="0" borderId="3" xfId="0" applyFont="1" applyBorder="1" applyAlignment="1">
      <alignment horizontal="right"/>
    </xf>
    <xf numFmtId="3" fontId="22" fillId="0" borderId="3" xfId="0" applyNumberFormat="1" applyFont="1" applyBorder="1" applyAlignment="1">
      <alignment horizontal="right"/>
    </xf>
    <xf numFmtId="3" fontId="14" fillId="2" borderId="3" xfId="0" applyNumberFormat="1" applyFont="1" applyFill="1" applyBorder="1" applyAlignment="1">
      <alignment horizontal="right"/>
    </xf>
    <xf numFmtId="0" fontId="14" fillId="2" borderId="3" xfId="0" applyFont="1" applyFill="1" applyBorder="1" applyAlignment="1">
      <alignment horizontal="center"/>
    </xf>
    <xf numFmtId="0" fontId="22" fillId="2" borderId="3" xfId="0" applyFont="1" applyFill="1" applyBorder="1"/>
    <xf numFmtId="0" fontId="14" fillId="2" borderId="3" xfId="0" applyFont="1" applyFill="1" applyBorder="1"/>
    <xf numFmtId="0" fontId="13" fillId="0" borderId="0" xfId="0" applyFont="1" applyFill="1" applyBorder="1"/>
    <xf numFmtId="0" fontId="12" fillId="0" borderId="0" xfId="0" applyFont="1" applyFill="1" applyBorder="1" applyAlignment="1">
      <alignment horizontal="right" vertical="center"/>
    </xf>
    <xf numFmtId="1" fontId="13" fillId="0" borderId="0" xfId="0" applyNumberFormat="1" applyFont="1" applyFill="1" applyBorder="1"/>
    <xf numFmtId="3"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8" fillId="4" borderId="3" xfId="0" applyFont="1" applyFill="1" applyBorder="1" applyAlignment="1">
      <alignment horizontal="justify" vertical="center" wrapText="1"/>
    </xf>
    <xf numFmtId="0" fontId="8" fillId="4" borderId="3" xfId="0" applyFont="1" applyFill="1" applyBorder="1" applyAlignment="1">
      <alignment horizontal="center" vertical="center" wrapText="1"/>
    </xf>
    <xf numFmtId="0" fontId="8" fillId="0" borderId="3" xfId="0" applyFont="1" applyBorder="1" applyAlignment="1">
      <alignment horizontal="justify" vertical="center" wrapText="1"/>
    </xf>
    <xf numFmtId="3" fontId="7" fillId="0" borderId="3" xfId="0" applyNumberFormat="1" applyFont="1" applyBorder="1" applyAlignment="1">
      <alignment vertical="center"/>
    </xf>
    <xf numFmtId="0" fontId="24" fillId="4" borderId="29" xfId="0" applyFont="1" applyFill="1" applyBorder="1" applyAlignment="1">
      <alignment vertical="center"/>
    </xf>
    <xf numFmtId="0" fontId="8" fillId="4" borderId="31" xfId="0" applyFont="1" applyFill="1" applyBorder="1" applyAlignment="1">
      <alignment horizontal="center" vertical="center" wrapText="1"/>
    </xf>
    <xf numFmtId="3" fontId="9" fillId="0" borderId="31" xfId="0" applyNumberFormat="1" applyFont="1" applyBorder="1" applyAlignment="1">
      <alignment horizontal="right" vertical="center" wrapText="1"/>
    </xf>
    <xf numFmtId="0" fontId="0" fillId="0" borderId="29" xfId="0" applyBorder="1"/>
    <xf numFmtId="0" fontId="0" fillId="0" borderId="38" xfId="0" applyBorder="1"/>
    <xf numFmtId="0" fontId="8" fillId="0" borderId="39" xfId="0" applyFont="1" applyBorder="1" applyAlignment="1">
      <alignment horizontal="justify" vertical="center" wrapText="1"/>
    </xf>
    <xf numFmtId="0" fontId="7" fillId="0" borderId="39" xfId="0" applyFont="1" applyBorder="1" applyAlignment="1">
      <alignment horizontal="center" vertical="center"/>
    </xf>
    <xf numFmtId="3" fontId="7" fillId="0" borderId="39" xfId="0" applyNumberFormat="1" applyFont="1" applyBorder="1" applyAlignment="1">
      <alignment horizontal="center" vertical="center"/>
    </xf>
    <xf numFmtId="3" fontId="7" fillId="0" borderId="39" xfId="0" applyNumberFormat="1" applyFont="1" applyBorder="1" applyAlignment="1">
      <alignment vertical="center"/>
    </xf>
    <xf numFmtId="3" fontId="2" fillId="4" borderId="20" xfId="0" applyNumberFormat="1" applyFont="1" applyFill="1" applyBorder="1"/>
    <xf numFmtId="0" fontId="35" fillId="0" borderId="0" xfId="0" applyFont="1"/>
    <xf numFmtId="0" fontId="13" fillId="0" borderId="0" xfId="0" applyFont="1" applyFill="1"/>
    <xf numFmtId="0" fontId="20" fillId="0" borderId="3" xfId="0" applyFont="1" applyFill="1" applyBorder="1" applyAlignment="1">
      <alignment horizontal="center" vertical="center" wrapText="1"/>
    </xf>
    <xf numFmtId="3" fontId="20" fillId="0" borderId="3" xfId="0" applyNumberFormat="1" applyFont="1" applyFill="1" applyBorder="1" applyAlignment="1">
      <alignment horizontal="center" vertical="center" wrapText="1"/>
    </xf>
    <xf numFmtId="0" fontId="0" fillId="0" borderId="0" xfId="0" applyAlignment="1">
      <alignment vertical="center"/>
    </xf>
    <xf numFmtId="0" fontId="20" fillId="0" borderId="3" xfId="0" applyFont="1" applyFill="1" applyBorder="1" applyAlignment="1">
      <alignment horizontal="center" vertical="center"/>
    </xf>
    <xf numFmtId="0" fontId="20" fillId="0" borderId="3" xfId="0" applyFont="1" applyFill="1" applyBorder="1" applyAlignment="1">
      <alignment vertical="center" wrapText="1"/>
    </xf>
    <xf numFmtId="0" fontId="20" fillId="0" borderId="3" xfId="0" applyFont="1" applyFill="1" applyBorder="1" applyAlignment="1">
      <alignment vertical="center"/>
    </xf>
    <xf numFmtId="0" fontId="11" fillId="0" borderId="3" xfId="0" applyFont="1" applyFill="1" applyBorder="1" applyAlignment="1">
      <alignment vertical="center" wrapText="1"/>
    </xf>
    <xf numFmtId="3" fontId="11" fillId="0" borderId="3" xfId="0" applyNumberFormat="1" applyFont="1" applyFill="1" applyBorder="1" applyAlignment="1">
      <alignment horizontal="center" vertical="center" wrapText="1"/>
    </xf>
    <xf numFmtId="3" fontId="11" fillId="0" borderId="3" xfId="0" applyNumberFormat="1" applyFont="1" applyFill="1" applyBorder="1" applyAlignment="1">
      <alignment horizontal="right" vertical="center" wrapText="1"/>
    </xf>
    <xf numFmtId="0" fontId="13" fillId="0" borderId="0" xfId="0" applyFont="1" applyAlignment="1">
      <alignment vertical="center"/>
    </xf>
    <xf numFmtId="0" fontId="13" fillId="0" borderId="0" xfId="0" applyFont="1" applyBorder="1" applyAlignment="1">
      <alignment vertical="center"/>
    </xf>
    <xf numFmtId="0" fontId="20" fillId="0" borderId="3" xfId="0" applyFont="1" applyBorder="1" applyAlignment="1">
      <alignment vertical="center"/>
    </xf>
    <xf numFmtId="0" fontId="13" fillId="0" borderId="0" xfId="0" applyFont="1" applyBorder="1" applyAlignment="1">
      <alignment horizontal="center" vertical="center"/>
    </xf>
    <xf numFmtId="1" fontId="13" fillId="0" borderId="0" xfId="1" applyNumberFormat="1" applyFont="1" applyBorder="1" applyAlignment="1">
      <alignment vertical="center"/>
    </xf>
    <xf numFmtId="3" fontId="13" fillId="0" borderId="0" xfId="0" applyNumberFormat="1" applyFont="1" applyAlignment="1">
      <alignment vertical="center"/>
    </xf>
    <xf numFmtId="0" fontId="25" fillId="0" borderId="0" xfId="0" applyFont="1"/>
    <xf numFmtId="0" fontId="25" fillId="0" borderId="0" xfId="0" applyFont="1" applyFill="1"/>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25" fillId="0" borderId="0" xfId="0" applyFont="1" applyBorder="1" applyAlignment="1">
      <alignment vertical="center" wrapText="1"/>
    </xf>
    <xf numFmtId="0" fontId="0" fillId="0" borderId="0" xfId="0" applyAlignment="1">
      <alignment horizontal="center" vertical="center"/>
    </xf>
    <xf numFmtId="0" fontId="25" fillId="0" borderId="3" xfId="0" applyFont="1" applyBorder="1" applyAlignment="1">
      <alignment horizontal="center" vertical="center" wrapText="1"/>
    </xf>
    <xf numFmtId="0" fontId="0" fillId="0" borderId="0" xfId="0" applyBorder="1" applyAlignment="1">
      <alignment vertical="center"/>
    </xf>
    <xf numFmtId="0" fontId="25" fillId="0" borderId="5" xfId="0" applyFont="1" applyBorder="1" applyAlignment="1">
      <alignment vertical="center" wrapText="1"/>
    </xf>
    <xf numFmtId="0" fontId="25" fillId="0" borderId="3" xfId="0" applyFont="1" applyBorder="1" applyAlignment="1">
      <alignment horizontal="justify" vertical="center" wrapText="1"/>
    </xf>
    <xf numFmtId="3" fontId="25" fillId="0" borderId="3" xfId="0" applyNumberFormat="1" applyFont="1" applyBorder="1" applyAlignment="1">
      <alignment horizontal="right" vertical="center" wrapText="1"/>
    </xf>
    <xf numFmtId="0" fontId="25" fillId="0" borderId="3" xfId="0" applyFont="1" applyBorder="1" applyAlignment="1">
      <alignment horizontal="right" vertical="center" wrapText="1"/>
    </xf>
    <xf numFmtId="0" fontId="25" fillId="0" borderId="3" xfId="0" applyFont="1" applyBorder="1" applyAlignment="1">
      <alignment horizontal="justify" vertical="center"/>
    </xf>
    <xf numFmtId="0" fontId="38" fillId="0" borderId="3" xfId="0" applyFont="1" applyBorder="1" applyAlignment="1">
      <alignment vertical="center" wrapText="1"/>
    </xf>
    <xf numFmtId="3" fontId="24" fillId="0" borderId="3" xfId="0" applyNumberFormat="1" applyFont="1" applyBorder="1" applyAlignment="1">
      <alignment horizontal="right" vertical="center" wrapText="1"/>
    </xf>
    <xf numFmtId="3" fontId="28" fillId="0" borderId="3" xfId="0" applyNumberFormat="1" applyFont="1" applyBorder="1" applyAlignment="1">
      <alignment horizontal="right" vertical="center" wrapText="1"/>
    </xf>
    <xf numFmtId="0" fontId="41" fillId="0" borderId="0" xfId="0" applyFont="1" applyAlignment="1">
      <alignment vertical="center"/>
    </xf>
    <xf numFmtId="0" fontId="41" fillId="0" borderId="0" xfId="0" applyFont="1" applyBorder="1" applyAlignment="1">
      <alignment horizontal="center" vertical="center"/>
    </xf>
    <xf numFmtId="0" fontId="11" fillId="0" borderId="3" xfId="0" applyFont="1" applyFill="1" applyBorder="1" applyAlignment="1">
      <alignment horizontal="center" vertical="center"/>
    </xf>
    <xf numFmtId="3" fontId="11" fillId="0" borderId="3" xfId="0" applyNumberFormat="1" applyFont="1" applyFill="1" applyBorder="1" applyAlignment="1">
      <alignment horizontal="center" vertical="center"/>
    </xf>
    <xf numFmtId="0" fontId="20" fillId="0" borderId="0" xfId="0" applyFont="1" applyAlignment="1">
      <alignment vertical="center"/>
    </xf>
    <xf numFmtId="0" fontId="20" fillId="0" borderId="5" xfId="0" applyFont="1" applyBorder="1" applyAlignment="1">
      <alignment vertical="center"/>
    </xf>
    <xf numFmtId="0" fontId="20" fillId="0" borderId="0" xfId="0" applyFont="1" applyAlignment="1">
      <alignment horizontal="center" vertical="center"/>
    </xf>
    <xf numFmtId="3" fontId="13" fillId="0" borderId="0" xfId="0" applyNumberFormat="1" applyFont="1"/>
    <xf numFmtId="0" fontId="0" fillId="0" borderId="0" xfId="0" applyFill="1" applyAlignment="1">
      <alignment vertical="center"/>
    </xf>
    <xf numFmtId="3" fontId="0" fillId="0" borderId="0" xfId="0" applyNumberFormat="1" applyAlignment="1">
      <alignment vertical="center"/>
    </xf>
    <xf numFmtId="0" fontId="11" fillId="0" borderId="3" xfId="0" applyFont="1" applyFill="1" applyBorder="1" applyAlignment="1">
      <alignment horizontal="center" vertical="center" wrapText="1"/>
    </xf>
    <xf numFmtId="0" fontId="20" fillId="0" borderId="3" xfId="0" applyFont="1" applyFill="1" applyBorder="1" applyAlignment="1">
      <alignment horizontal="justify" vertical="center" wrapText="1"/>
    </xf>
    <xf numFmtId="3" fontId="20" fillId="0" borderId="3" xfId="0" applyNumberFormat="1" applyFont="1" applyFill="1" applyBorder="1" applyAlignment="1">
      <alignment horizontal="right" vertical="center" wrapText="1"/>
    </xf>
    <xf numFmtId="3" fontId="20" fillId="0" borderId="3" xfId="1" applyNumberFormat="1" applyFont="1" applyFill="1" applyBorder="1" applyAlignment="1">
      <alignment horizontal="right" vertical="center" wrapText="1"/>
    </xf>
    <xf numFmtId="0" fontId="11" fillId="0" borderId="5" xfId="0" applyFont="1" applyFill="1" applyBorder="1" applyAlignment="1">
      <alignment vertical="center"/>
    </xf>
    <xf numFmtId="3" fontId="11" fillId="0" borderId="3" xfId="1" applyNumberFormat="1" applyFont="1" applyFill="1" applyBorder="1" applyAlignment="1">
      <alignment horizontal="right" vertical="center" wrapText="1"/>
    </xf>
    <xf numFmtId="0" fontId="11" fillId="0" borderId="0" xfId="0" applyFont="1" applyFill="1" applyBorder="1" applyAlignment="1">
      <alignment vertical="center"/>
    </xf>
    <xf numFmtId="0" fontId="20" fillId="0" borderId="0" xfId="0" applyFont="1" applyFill="1" applyAlignment="1">
      <alignment vertical="center"/>
    </xf>
    <xf numFmtId="3" fontId="11" fillId="0" borderId="3" xfId="0" applyNumberFormat="1" applyFont="1" applyFill="1" applyBorder="1" applyAlignment="1">
      <alignment vertical="center"/>
    </xf>
    <xf numFmtId="0" fontId="42" fillId="0" borderId="3" xfId="0" applyFont="1" applyFill="1" applyBorder="1" applyAlignment="1">
      <alignment vertical="center" wrapText="1"/>
    </xf>
    <xf numFmtId="0" fontId="20" fillId="0" borderId="0" xfId="0" applyFont="1" applyFill="1" applyBorder="1" applyAlignment="1">
      <alignment vertical="center"/>
    </xf>
    <xf numFmtId="0" fontId="11" fillId="0" borderId="0" xfId="0" applyFont="1" applyFill="1" applyBorder="1" applyAlignment="1">
      <alignment vertical="center" wrapText="1"/>
    </xf>
    <xf numFmtId="3" fontId="11" fillId="0" borderId="3" xfId="0" applyNumberFormat="1" applyFont="1" applyFill="1" applyBorder="1" applyAlignment="1">
      <alignment horizontal="right" vertical="center"/>
    </xf>
    <xf numFmtId="0" fontId="20" fillId="0" borderId="10" xfId="0" applyFont="1" applyFill="1" applyBorder="1" applyAlignment="1">
      <alignment vertical="center"/>
    </xf>
    <xf numFmtId="0" fontId="11" fillId="0" borderId="10" xfId="0" applyFont="1" applyFill="1" applyBorder="1" applyAlignment="1">
      <alignment vertical="center" wrapText="1"/>
    </xf>
    <xf numFmtId="0" fontId="11" fillId="0" borderId="10" xfId="0" applyFont="1" applyFill="1" applyBorder="1" applyAlignment="1">
      <alignment horizontal="center" vertical="center" wrapText="1"/>
    </xf>
    <xf numFmtId="3" fontId="11" fillId="0" borderId="10" xfId="0" applyNumberFormat="1" applyFont="1" applyFill="1" applyBorder="1" applyAlignment="1">
      <alignment horizontal="right" vertical="center" wrapText="1"/>
    </xf>
    <xf numFmtId="0" fontId="11" fillId="0" borderId="4" xfId="0" applyFont="1" applyFill="1" applyBorder="1" applyAlignment="1">
      <alignment vertical="center"/>
    </xf>
    <xf numFmtId="3" fontId="11" fillId="0" borderId="8" xfId="0" applyNumberFormat="1" applyFont="1" applyFill="1" applyBorder="1" applyAlignment="1">
      <alignment horizontal="right" vertical="center" wrapText="1"/>
    </xf>
    <xf numFmtId="3" fontId="11" fillId="0" borderId="8" xfId="0" applyNumberFormat="1" applyFont="1" applyFill="1" applyBorder="1" applyAlignment="1">
      <alignment horizontal="right" vertical="center"/>
    </xf>
    <xf numFmtId="3" fontId="20" fillId="0" borderId="3" xfId="0" applyNumberFormat="1" applyFont="1" applyFill="1" applyBorder="1" applyAlignment="1">
      <alignment horizontal="right" vertical="center"/>
    </xf>
    <xf numFmtId="0" fontId="11" fillId="0" borderId="3" xfId="0" applyFont="1" applyFill="1" applyBorder="1" applyAlignment="1">
      <alignment horizontal="justify" vertical="center" wrapText="1"/>
    </xf>
    <xf numFmtId="3" fontId="11" fillId="0" borderId="3" xfId="0" applyNumberFormat="1" applyFont="1" applyFill="1" applyBorder="1" applyAlignment="1" applyProtection="1">
      <alignment horizontal="right" vertical="center"/>
      <protection locked="0"/>
    </xf>
    <xf numFmtId="0" fontId="11" fillId="0" borderId="3" xfId="0" applyFont="1" applyFill="1" applyBorder="1" applyAlignment="1">
      <alignment vertical="center"/>
    </xf>
    <xf numFmtId="0" fontId="20" fillId="0" borderId="0" xfId="0" applyFont="1" applyFill="1"/>
    <xf numFmtId="3" fontId="20" fillId="0" borderId="0" xfId="0" applyNumberFormat="1" applyFont="1" applyFill="1"/>
    <xf numFmtId="0" fontId="20" fillId="0" borderId="0" xfId="0" applyFont="1" applyFill="1" applyBorder="1"/>
    <xf numFmtId="0" fontId="11" fillId="0" borderId="0" xfId="0" applyFont="1" applyFill="1" applyBorder="1" applyAlignment="1">
      <alignment horizontal="right" vertical="center"/>
    </xf>
    <xf numFmtId="1" fontId="20" fillId="0" borderId="0" xfId="0" applyNumberFormat="1" applyFont="1" applyFill="1" applyBorder="1"/>
    <xf numFmtId="0" fontId="20" fillId="0" borderId="5" xfId="0" applyFont="1" applyFill="1" applyBorder="1" applyAlignment="1">
      <alignment vertical="center"/>
    </xf>
    <xf numFmtId="0" fontId="11" fillId="0" borderId="12" xfId="0" applyFont="1" applyFill="1" applyBorder="1" applyAlignment="1">
      <alignment vertical="center"/>
    </xf>
    <xf numFmtId="0" fontId="5" fillId="0" borderId="0" xfId="0" applyFont="1" applyAlignment="1">
      <alignment vertical="center"/>
    </xf>
    <xf numFmtId="0" fontId="0" fillId="0" borderId="0" xfId="0" applyAlignment="1">
      <alignment vertical="center" textRotation="90"/>
    </xf>
    <xf numFmtId="3" fontId="24" fillId="0" borderId="10" xfId="0" applyNumberFormat="1" applyFont="1" applyFill="1" applyBorder="1" applyAlignment="1">
      <alignment horizontal="center" vertical="center" textRotation="90" wrapText="1"/>
    </xf>
    <xf numFmtId="3" fontId="24" fillId="0" borderId="3" xfId="0" applyNumberFormat="1" applyFont="1" applyFill="1" applyBorder="1" applyAlignment="1">
      <alignment horizontal="center" vertical="center" textRotation="90" wrapText="1"/>
    </xf>
    <xf numFmtId="3" fontId="25" fillId="0" borderId="3" xfId="0" applyNumberFormat="1" applyFont="1" applyFill="1" applyBorder="1" applyAlignment="1">
      <alignment horizontal="right" vertical="center"/>
    </xf>
    <xf numFmtId="3" fontId="25" fillId="0" borderId="3" xfId="0" applyNumberFormat="1" applyFont="1" applyFill="1" applyBorder="1" applyAlignment="1">
      <alignment horizontal="right"/>
    </xf>
    <xf numFmtId="3" fontId="43" fillId="0" borderId="0" xfId="0" applyNumberFormat="1" applyFont="1" applyFill="1" applyBorder="1" applyAlignment="1">
      <alignment vertical="center"/>
    </xf>
    <xf numFmtId="3" fontId="25" fillId="0" borderId="3" xfId="0" applyNumberFormat="1" applyFont="1" applyFill="1" applyBorder="1" applyAlignment="1">
      <alignment vertical="center" wrapText="1"/>
    </xf>
    <xf numFmtId="3" fontId="4" fillId="0" borderId="3" xfId="0" applyNumberFormat="1" applyFont="1" applyFill="1" applyBorder="1" applyAlignment="1">
      <alignment vertical="center" wrapText="1"/>
    </xf>
    <xf numFmtId="3" fontId="24" fillId="0" borderId="3" xfId="0" applyNumberFormat="1" applyFont="1" applyFill="1" applyBorder="1" applyAlignment="1">
      <alignment horizontal="right" vertical="center"/>
    </xf>
    <xf numFmtId="3" fontId="25" fillId="0" borderId="0" xfId="0" applyNumberFormat="1" applyFont="1" applyFill="1" applyBorder="1" applyAlignment="1">
      <alignment vertical="center"/>
    </xf>
    <xf numFmtId="0" fontId="25" fillId="0" borderId="0" xfId="0" applyFont="1" applyFill="1" applyAlignment="1">
      <alignment vertical="center"/>
    </xf>
    <xf numFmtId="0" fontId="24" fillId="0" borderId="3" xfId="0" applyFont="1" applyFill="1" applyBorder="1" applyAlignment="1">
      <alignment horizontal="center" vertical="center" textRotation="90"/>
    </xf>
    <xf numFmtId="0" fontId="24" fillId="0" borderId="3" xfId="0" applyFont="1" applyFill="1" applyBorder="1" applyAlignment="1">
      <alignment horizontal="center" vertical="center" textRotation="90" wrapText="1"/>
    </xf>
    <xf numFmtId="0" fontId="25" fillId="0" borderId="0" xfId="0" applyFont="1" applyFill="1" applyAlignment="1">
      <alignment vertical="center" textRotation="90"/>
    </xf>
    <xf numFmtId="0" fontId="25" fillId="0" borderId="3" xfId="0" applyFont="1" applyFill="1" applyBorder="1" applyAlignment="1">
      <alignment horizontal="center" vertical="center"/>
    </xf>
    <xf numFmtId="0" fontId="25"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3" fontId="24" fillId="0" borderId="6" xfId="0" applyNumberFormat="1" applyFont="1" applyFill="1" applyBorder="1" applyAlignment="1">
      <alignment horizontal="right" vertical="center"/>
    </xf>
    <xf numFmtId="0" fontId="25"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0" xfId="0" applyFont="1" applyFill="1" applyAlignment="1">
      <alignment horizontal="center"/>
    </xf>
    <xf numFmtId="0" fontId="25" fillId="0" borderId="0" xfId="0" applyFont="1" applyFill="1" applyAlignment="1">
      <alignment horizontal="left"/>
    </xf>
    <xf numFmtId="0" fontId="0" fillId="0" borderId="0" xfId="0" applyFill="1" applyAlignment="1">
      <alignment vertical="center" textRotation="90"/>
    </xf>
    <xf numFmtId="0" fontId="25" fillId="0" borderId="3" xfId="0" applyFont="1" applyFill="1" applyBorder="1" applyAlignment="1">
      <alignment vertical="top" wrapText="1"/>
    </xf>
    <xf numFmtId="3" fontId="25" fillId="0" borderId="3" xfId="0" applyNumberFormat="1" applyFont="1" applyFill="1" applyBorder="1" applyAlignment="1">
      <alignment horizontal="right" vertical="top" wrapText="1"/>
    </xf>
    <xf numFmtId="0" fontId="44" fillId="0" borderId="3" xfId="0" applyFont="1" applyFill="1" applyBorder="1" applyAlignment="1">
      <alignment vertical="top" wrapText="1"/>
    </xf>
    <xf numFmtId="3" fontId="25" fillId="0" borderId="3" xfId="0" applyNumberFormat="1" applyFont="1" applyFill="1" applyBorder="1" applyAlignment="1">
      <alignment vertical="top" wrapText="1"/>
    </xf>
    <xf numFmtId="3" fontId="44" fillId="0" borderId="3" xfId="0" applyNumberFormat="1" applyFont="1" applyFill="1" applyBorder="1" applyAlignment="1">
      <alignment vertical="top" wrapText="1"/>
    </xf>
    <xf numFmtId="0" fontId="25" fillId="0" borderId="3" xfId="0" applyFont="1" applyFill="1" applyBorder="1" applyAlignment="1">
      <alignment horizontal="center" vertical="center" wrapText="1"/>
    </xf>
    <xf numFmtId="3" fontId="24" fillId="0" borderId="3" xfId="0" applyNumberFormat="1" applyFont="1" applyFill="1" applyBorder="1" applyAlignment="1">
      <alignment horizontal="center" vertical="top" wrapText="1"/>
    </xf>
    <xf numFmtId="3" fontId="24" fillId="0" borderId="3" xfId="0" applyNumberFormat="1" applyFont="1" applyFill="1" applyBorder="1" applyAlignment="1">
      <alignment horizontal="right"/>
    </xf>
    <xf numFmtId="0" fontId="43" fillId="0" borderId="0" xfId="0" applyFont="1" applyFill="1" applyBorder="1" applyAlignment="1">
      <alignment horizontal="center" vertical="center"/>
    </xf>
    <xf numFmtId="0" fontId="43" fillId="0" borderId="0" xfId="0" applyFont="1" applyFill="1" applyBorder="1"/>
    <xf numFmtId="3" fontId="43" fillId="0" borderId="0" xfId="0" applyNumberFormat="1" applyFont="1" applyFill="1" applyBorder="1"/>
    <xf numFmtId="0" fontId="0" fillId="0" borderId="0" xfId="0" applyFill="1" applyAlignment="1">
      <alignment horizontal="center" vertical="center"/>
    </xf>
    <xf numFmtId="0" fontId="24" fillId="0" borderId="0" xfId="0" applyFont="1" applyFill="1" applyBorder="1" applyAlignment="1">
      <alignment vertical="center"/>
    </xf>
    <xf numFmtId="0" fontId="24" fillId="0" borderId="16" xfId="0" applyFont="1" applyFill="1" applyBorder="1" applyAlignment="1">
      <alignment horizontal="center" vertical="center" textRotation="90"/>
    </xf>
    <xf numFmtId="0" fontId="24" fillId="0" borderId="16" xfId="0" applyFont="1" applyFill="1" applyBorder="1" applyAlignment="1">
      <alignment horizontal="center" vertical="center" textRotation="90" wrapText="1"/>
    </xf>
    <xf numFmtId="0" fontId="25" fillId="0" borderId="3" xfId="0" applyFont="1" applyFill="1" applyBorder="1" applyAlignment="1">
      <alignment vertical="center" wrapText="1"/>
    </xf>
    <xf numFmtId="3" fontId="25" fillId="0" borderId="3" xfId="0" applyNumberFormat="1" applyFont="1" applyFill="1" applyBorder="1" applyAlignment="1">
      <alignment horizontal="right" vertical="center" wrapText="1"/>
    </xf>
    <xf numFmtId="0" fontId="44" fillId="0" borderId="3" xfId="0" applyFont="1" applyFill="1" applyBorder="1" applyAlignment="1">
      <alignment vertical="center" wrapText="1"/>
    </xf>
    <xf numFmtId="0" fontId="43" fillId="0" borderId="0" xfId="0" applyFont="1" applyFill="1" applyBorder="1" applyAlignment="1">
      <alignment vertical="center"/>
    </xf>
    <xf numFmtId="0" fontId="4" fillId="0" borderId="3" xfId="0" applyFont="1" applyFill="1" applyBorder="1" applyAlignment="1">
      <alignment vertical="center" wrapText="1"/>
    </xf>
    <xf numFmtId="0" fontId="25" fillId="0" borderId="0" xfId="0" applyFont="1" applyFill="1" applyBorder="1" applyAlignment="1">
      <alignment vertical="center"/>
    </xf>
    <xf numFmtId="0" fontId="24" fillId="0" borderId="10" xfId="0" applyFont="1" applyFill="1" applyBorder="1" applyAlignment="1">
      <alignment horizontal="center" vertical="center" textRotation="90" wrapText="1"/>
    </xf>
    <xf numFmtId="0" fontId="24" fillId="0" borderId="10" xfId="0" applyFont="1" applyFill="1" applyBorder="1" applyAlignment="1">
      <alignment horizontal="center" vertical="center" textRotation="90"/>
    </xf>
    <xf numFmtId="0" fontId="0" fillId="0" borderId="0" xfId="0" applyAlignment="1">
      <alignment horizontal="center"/>
    </xf>
    <xf numFmtId="0" fontId="25" fillId="0" borderId="3" xfId="0" applyFont="1" applyFill="1" applyBorder="1" applyAlignment="1">
      <alignment horizontal="right" vertical="center"/>
    </xf>
    <xf numFmtId="0" fontId="43" fillId="0" borderId="5" xfId="0" applyFont="1" applyFill="1" applyBorder="1" applyAlignment="1">
      <alignment horizontal="center" vertical="center"/>
    </xf>
    <xf numFmtId="0" fontId="43" fillId="0" borderId="5" xfId="0" applyFont="1" applyFill="1" applyBorder="1" applyAlignment="1">
      <alignment vertical="center"/>
    </xf>
    <xf numFmtId="0" fontId="43" fillId="0" borderId="4" xfId="0" applyFont="1" applyFill="1" applyBorder="1" applyAlignment="1">
      <alignment vertical="center"/>
    </xf>
    <xf numFmtId="0" fontId="43" fillId="0" borderId="12" xfId="0" applyFont="1" applyFill="1" applyBorder="1" applyAlignment="1">
      <alignment vertical="center"/>
    </xf>
    <xf numFmtId="164" fontId="24" fillId="0" borderId="3" xfId="0" applyNumberFormat="1" applyFont="1" applyFill="1" applyBorder="1" applyAlignment="1">
      <alignment horizontal="right" vertical="center"/>
    </xf>
    <xf numFmtId="3" fontId="43" fillId="0" borderId="0" xfId="0" applyNumberFormat="1" applyFont="1" applyFill="1" applyBorder="1" applyAlignment="1">
      <alignment vertical="center" wrapText="1"/>
    </xf>
    <xf numFmtId="0" fontId="24" fillId="0" borderId="3" xfId="0" applyFont="1" applyFill="1" applyBorder="1" applyAlignment="1">
      <alignment horizontal="center" vertical="center"/>
    </xf>
    <xf numFmtId="0" fontId="12" fillId="0" borderId="3" xfId="0" applyFont="1" applyFill="1" applyBorder="1"/>
    <xf numFmtId="0" fontId="0" fillId="0" borderId="0" xfId="0" applyAlignment="1">
      <alignment textRotation="90"/>
    </xf>
    <xf numFmtId="0" fontId="8" fillId="0" borderId="3" xfId="0" applyFont="1" applyFill="1" applyBorder="1" applyAlignment="1">
      <alignment horizontal="center" vertical="center" textRotation="90"/>
    </xf>
    <xf numFmtId="0" fontId="8" fillId="0" borderId="3" xfId="0" applyFont="1" applyFill="1" applyBorder="1" applyAlignment="1">
      <alignment horizontal="center" vertical="center" textRotation="90" wrapText="1"/>
    </xf>
    <xf numFmtId="0" fontId="9" fillId="0" borderId="3" xfId="0" applyFont="1" applyFill="1" applyBorder="1" applyAlignment="1">
      <alignment horizontal="center" vertical="center"/>
    </xf>
    <xf numFmtId="0" fontId="9" fillId="0" borderId="3" xfId="0" applyFont="1" applyFill="1" applyBorder="1" applyAlignment="1">
      <alignment vertical="center" wrapText="1"/>
    </xf>
    <xf numFmtId="3" fontId="9" fillId="0" borderId="3" xfId="0" applyNumberFormat="1" applyFont="1" applyFill="1" applyBorder="1" applyAlignment="1">
      <alignment horizontal="right" vertical="center"/>
    </xf>
    <xf numFmtId="0" fontId="23" fillId="0" borderId="3" xfId="0" applyFont="1" applyFill="1" applyBorder="1" applyAlignment="1">
      <alignment vertical="center" wrapText="1"/>
    </xf>
    <xf numFmtId="0" fontId="24" fillId="0" borderId="3" xfId="0" applyFont="1" applyFill="1" applyBorder="1" applyAlignment="1">
      <alignment horizontal="justify" vertical="center" wrapText="1"/>
    </xf>
    <xf numFmtId="0" fontId="25" fillId="0" borderId="3" xfId="0" applyFont="1" applyFill="1" applyBorder="1" applyAlignment="1">
      <alignment vertical="center"/>
    </xf>
    <xf numFmtId="3" fontId="25" fillId="0" borderId="3" xfId="0" applyNumberFormat="1" applyFont="1" applyFill="1" applyBorder="1" applyAlignment="1">
      <alignment vertical="center"/>
    </xf>
    <xf numFmtId="0" fontId="25" fillId="0" borderId="5" xfId="0" applyFont="1" applyFill="1" applyBorder="1" applyAlignment="1">
      <alignment horizontal="center" vertical="center"/>
    </xf>
    <xf numFmtId="0" fontId="25" fillId="0" borderId="5" xfId="0" applyFont="1" applyFill="1" applyBorder="1" applyAlignment="1">
      <alignment vertical="center"/>
    </xf>
    <xf numFmtId="0" fontId="25" fillId="0" borderId="4" xfId="0" applyFont="1" applyFill="1" applyBorder="1" applyAlignment="1">
      <alignment vertical="center"/>
    </xf>
    <xf numFmtId="3" fontId="24" fillId="0" borderId="3" xfId="0" applyNumberFormat="1" applyFont="1" applyFill="1" applyBorder="1" applyAlignment="1">
      <alignment vertical="center"/>
    </xf>
    <xf numFmtId="0" fontId="25" fillId="0" borderId="12" xfId="0" applyFont="1" applyFill="1" applyBorder="1" applyAlignment="1">
      <alignment vertical="center"/>
    </xf>
    <xf numFmtId="0" fontId="25" fillId="0" borderId="3" xfId="0" applyFont="1" applyBorder="1" applyAlignment="1">
      <alignment horizontal="left" vertical="center" wrapText="1"/>
    </xf>
    <xf numFmtId="1" fontId="25" fillId="0" borderId="3" xfId="0" applyNumberFormat="1" applyFont="1" applyFill="1" applyBorder="1" applyAlignment="1">
      <alignment horizontal="center" vertical="center"/>
    </xf>
    <xf numFmtId="6" fontId="25" fillId="0" borderId="3" xfId="0" applyNumberFormat="1" applyFont="1" applyBorder="1" applyAlignment="1">
      <alignment horizontal="center" vertical="center" wrapText="1"/>
    </xf>
    <xf numFmtId="0" fontId="24" fillId="0" borderId="5" xfId="0" applyFont="1" applyFill="1" applyBorder="1" applyAlignment="1">
      <alignment vertical="center" wrapText="1"/>
    </xf>
    <xf numFmtId="0" fontId="24" fillId="0" borderId="0" xfId="0" applyFont="1" applyFill="1" applyBorder="1" applyAlignment="1">
      <alignment vertical="center" wrapText="1"/>
    </xf>
    <xf numFmtId="0" fontId="24" fillId="0" borderId="16" xfId="0" applyFont="1" applyBorder="1" applyAlignment="1">
      <alignment horizontal="center" vertical="center" wrapText="1"/>
    </xf>
    <xf numFmtId="0" fontId="25" fillId="3" borderId="3" xfId="0" applyFont="1" applyFill="1" applyBorder="1" applyAlignment="1">
      <alignment horizontal="center" vertical="center" wrapText="1"/>
    </xf>
    <xf numFmtId="6" fontId="25" fillId="3" borderId="3" xfId="0" applyNumberFormat="1" applyFont="1" applyFill="1" applyBorder="1" applyAlignment="1">
      <alignment horizontal="center" vertical="center" wrapText="1"/>
    </xf>
    <xf numFmtId="6" fontId="24" fillId="0" borderId="3" xfId="0" applyNumberFormat="1" applyFont="1" applyBorder="1"/>
    <xf numFmtId="0" fontId="13" fillId="0" borderId="3" xfId="0" applyFont="1" applyFill="1" applyBorder="1"/>
    <xf numFmtId="0" fontId="12" fillId="0" borderId="3" xfId="0" applyFont="1" applyFill="1" applyBorder="1" applyAlignment="1">
      <alignment horizontal="center"/>
    </xf>
    <xf numFmtId="0" fontId="10" fillId="0" borderId="3" xfId="0" applyFont="1" applyFill="1" applyBorder="1" applyAlignment="1">
      <alignment horizontal="right"/>
    </xf>
    <xf numFmtId="0" fontId="10" fillId="0" borderId="3" xfId="0" applyFont="1" applyFill="1" applyBorder="1"/>
    <xf numFmtId="3" fontId="10" fillId="0" borderId="3" xfId="0" applyNumberFormat="1" applyFont="1" applyFill="1" applyBorder="1" applyAlignment="1">
      <alignment horizontal="right"/>
    </xf>
    <xf numFmtId="3" fontId="12" fillId="0" borderId="3" xfId="0" applyNumberFormat="1" applyFont="1" applyFill="1" applyBorder="1" applyAlignment="1">
      <alignment horizontal="right"/>
    </xf>
    <xf numFmtId="0" fontId="11" fillId="0" borderId="0" xfId="0" applyFont="1" applyFill="1" applyBorder="1" applyAlignment="1">
      <alignment horizontal="center" vertical="center"/>
    </xf>
    <xf numFmtId="0" fontId="11" fillId="0" borderId="8"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3" xfId="0" applyFont="1" applyFill="1" applyBorder="1" applyAlignment="1">
      <alignment horizontal="center" vertical="center" wrapText="1"/>
    </xf>
    <xf numFmtId="0" fontId="11" fillId="3" borderId="3" xfId="0" applyFont="1" applyFill="1" applyBorder="1" applyAlignment="1">
      <alignment horizontal="center" vertical="center" textRotation="90" wrapText="1"/>
    </xf>
    <xf numFmtId="3" fontId="20" fillId="3" borderId="3" xfId="0" applyNumberFormat="1" applyFont="1" applyFill="1" applyBorder="1" applyAlignment="1">
      <alignment horizontal="right" vertical="center"/>
    </xf>
    <xf numFmtId="0" fontId="11" fillId="3" borderId="3" xfId="0"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3" xfId="0" applyFont="1" applyFill="1" applyBorder="1" applyAlignment="1">
      <alignment vertical="center" wrapText="1"/>
    </xf>
    <xf numFmtId="0" fontId="11" fillId="3" borderId="3" xfId="0" applyFont="1" applyFill="1" applyBorder="1" applyAlignment="1">
      <alignment horizontal="center" vertical="center"/>
    </xf>
    <xf numFmtId="0" fontId="11" fillId="3" borderId="3" xfId="0" applyFont="1" applyFill="1" applyBorder="1" applyAlignment="1">
      <alignment vertical="center"/>
    </xf>
    <xf numFmtId="0" fontId="20" fillId="3" borderId="5" xfId="0" applyFont="1" applyFill="1" applyBorder="1" applyAlignment="1">
      <alignment vertical="center" wrapText="1"/>
    </xf>
    <xf numFmtId="3" fontId="20" fillId="3" borderId="5" xfId="0" applyNumberFormat="1" applyFont="1" applyFill="1" applyBorder="1" applyAlignment="1">
      <alignment horizontal="right" vertical="center"/>
    </xf>
    <xf numFmtId="0" fontId="20" fillId="3" borderId="14" xfId="0" applyFont="1" applyFill="1" applyBorder="1" applyAlignment="1">
      <alignment horizontal="center" vertical="center"/>
    </xf>
    <xf numFmtId="0" fontId="20" fillId="3" borderId="14" xfId="0" applyFont="1" applyFill="1" applyBorder="1" applyAlignment="1">
      <alignment vertical="center" wrapText="1"/>
    </xf>
    <xf numFmtId="3" fontId="20" fillId="3" borderId="14" xfId="0" applyNumberFormat="1" applyFont="1" applyFill="1" applyBorder="1" applyAlignment="1">
      <alignment horizontal="right" vertical="center"/>
    </xf>
    <xf numFmtId="0" fontId="20" fillId="3" borderId="3" xfId="0" applyFont="1" applyFill="1" applyBorder="1" applyAlignment="1">
      <alignment vertical="center"/>
    </xf>
    <xf numFmtId="3" fontId="11" fillId="3" borderId="3" xfId="0" applyNumberFormat="1" applyFont="1" applyFill="1" applyBorder="1" applyAlignment="1">
      <alignment horizontal="right" vertical="center"/>
    </xf>
    <xf numFmtId="3" fontId="11" fillId="3" borderId="3" xfId="0" applyNumberFormat="1" applyFont="1" applyFill="1" applyBorder="1" applyAlignment="1">
      <alignment horizontal="center" vertical="center"/>
    </xf>
    <xf numFmtId="0" fontId="20" fillId="3" borderId="10" xfId="0" applyFont="1" applyFill="1" applyBorder="1" applyAlignment="1">
      <alignment vertical="center"/>
    </xf>
    <xf numFmtId="0" fontId="43" fillId="0" borderId="0" xfId="0" applyFont="1" applyFill="1" applyAlignment="1">
      <alignment vertical="center"/>
    </xf>
    <xf numFmtId="0" fontId="11" fillId="3" borderId="10" xfId="0" applyFont="1" applyFill="1" applyBorder="1" applyAlignment="1">
      <alignment vertical="center"/>
    </xf>
    <xf numFmtId="3" fontId="11" fillId="3" borderId="10" xfId="0" applyNumberFormat="1" applyFont="1" applyFill="1" applyBorder="1" applyAlignment="1">
      <alignment horizontal="right" vertical="center"/>
    </xf>
    <xf numFmtId="0" fontId="20" fillId="0" borderId="0" xfId="0" applyFont="1" applyFill="1" applyBorder="1" applyAlignment="1">
      <alignment horizontal="center" vertical="center"/>
    </xf>
    <xf numFmtId="0" fontId="11" fillId="0" borderId="5" xfId="0" applyFont="1" applyFill="1" applyBorder="1" applyAlignment="1">
      <alignment horizontal="center" vertical="center"/>
    </xf>
    <xf numFmtId="3" fontId="11" fillId="0" borderId="5" xfId="0" applyNumberFormat="1" applyFont="1" applyFill="1" applyBorder="1" applyAlignment="1">
      <alignment horizontal="center" vertical="center"/>
    </xf>
    <xf numFmtId="0" fontId="20" fillId="3" borderId="0" xfId="0" applyFont="1" applyFill="1" applyBorder="1" applyAlignment="1">
      <alignment vertical="center"/>
    </xf>
    <xf numFmtId="0" fontId="25" fillId="0" borderId="0" xfId="0" applyFont="1" applyAlignment="1">
      <alignment vertical="center"/>
    </xf>
    <xf numFmtId="3" fontId="20" fillId="3" borderId="3" xfId="0" applyNumberFormat="1" applyFont="1" applyFill="1" applyBorder="1" applyAlignment="1">
      <alignment horizontal="center" vertical="center"/>
    </xf>
    <xf numFmtId="3" fontId="20" fillId="3" borderId="5" xfId="0" applyNumberFormat="1" applyFont="1" applyFill="1" applyBorder="1" applyAlignment="1">
      <alignment horizontal="center" vertical="center"/>
    </xf>
    <xf numFmtId="3" fontId="20" fillId="3" borderId="14" xfId="0" applyNumberFormat="1" applyFont="1" applyFill="1" applyBorder="1" applyAlignment="1">
      <alignment horizontal="center" vertical="center"/>
    </xf>
    <xf numFmtId="3" fontId="24" fillId="0" borderId="3" xfId="0" applyNumberFormat="1" applyFont="1" applyBorder="1" applyAlignment="1">
      <alignment vertical="center"/>
    </xf>
    <xf numFmtId="0" fontId="20" fillId="3" borderId="11" xfId="0" applyFont="1" applyFill="1" applyBorder="1" applyAlignment="1">
      <alignment vertical="center"/>
    </xf>
    <xf numFmtId="0" fontId="25" fillId="0" borderId="0" xfId="0" applyFont="1" applyBorder="1" applyAlignment="1">
      <alignment vertical="center"/>
    </xf>
    <xf numFmtId="3" fontId="11" fillId="3" borderId="0" xfId="0" applyNumberFormat="1" applyFont="1" applyFill="1" applyBorder="1" applyAlignment="1">
      <alignment horizontal="center" vertical="center"/>
    </xf>
    <xf numFmtId="0" fontId="20" fillId="3" borderId="0" xfId="0" applyFont="1" applyFill="1" applyBorder="1" applyAlignment="1">
      <alignment horizontal="center" vertical="center"/>
    </xf>
    <xf numFmtId="0" fontId="11" fillId="3" borderId="0" xfId="0" applyFont="1" applyFill="1" applyBorder="1" applyAlignment="1">
      <alignment horizontal="center" vertical="center"/>
    </xf>
    <xf numFmtId="3" fontId="24" fillId="0" borderId="0" xfId="0" applyNumberFormat="1" applyFont="1" applyBorder="1" applyAlignment="1">
      <alignment vertical="center"/>
    </xf>
    <xf numFmtId="0" fontId="25" fillId="0" borderId="0" xfId="0" applyFont="1" applyAlignment="1">
      <alignment horizontal="center" vertical="center"/>
    </xf>
    <xf numFmtId="0" fontId="11" fillId="0" borderId="3" xfId="0" applyFont="1" applyFill="1" applyBorder="1" applyAlignment="1">
      <alignment horizontal="center" vertical="center" textRotation="90" wrapText="1"/>
    </xf>
    <xf numFmtId="0" fontId="11" fillId="0" borderId="3" xfId="0" applyFont="1" applyFill="1" applyBorder="1" applyAlignment="1">
      <alignment vertical="center" textRotation="90" wrapText="1"/>
    </xf>
    <xf numFmtId="3" fontId="20" fillId="0" borderId="5" xfId="0" applyNumberFormat="1" applyFont="1" applyFill="1" applyBorder="1" applyAlignment="1">
      <alignment horizontal="right" vertical="center"/>
    </xf>
    <xf numFmtId="3" fontId="20" fillId="0" borderId="14" xfId="0" applyNumberFormat="1" applyFont="1" applyFill="1" applyBorder="1" applyAlignment="1">
      <alignment horizontal="right" vertical="center"/>
    </xf>
    <xf numFmtId="3" fontId="20" fillId="0" borderId="3" xfId="0" applyNumberFormat="1" applyFont="1" applyFill="1" applyBorder="1" applyAlignment="1">
      <alignment horizontal="center" vertical="center"/>
    </xf>
    <xf numFmtId="3" fontId="20" fillId="0" borderId="5"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0" fillId="0" borderId="5" xfId="0" applyFont="1" applyFill="1" applyBorder="1" applyAlignment="1">
      <alignment horizontal="center" vertical="center"/>
    </xf>
    <xf numFmtId="0" fontId="20" fillId="0" borderId="4" xfId="0" applyFont="1" applyFill="1" applyBorder="1" applyAlignment="1">
      <alignment vertical="center"/>
    </xf>
    <xf numFmtId="0" fontId="20" fillId="0" borderId="12" xfId="0" applyFont="1" applyFill="1" applyBorder="1" applyAlignment="1">
      <alignment vertical="center"/>
    </xf>
    <xf numFmtId="3" fontId="11" fillId="0" borderId="5" xfId="0" applyNumberFormat="1" applyFont="1" applyFill="1" applyBorder="1" applyAlignment="1">
      <alignment vertical="center"/>
    </xf>
    <xf numFmtId="0" fontId="36" fillId="0" borderId="4" xfId="0" applyFont="1" applyFill="1" applyBorder="1" applyAlignment="1">
      <alignment vertical="center" wrapText="1"/>
    </xf>
    <xf numFmtId="0" fontId="36" fillId="0" borderId="12" xfId="0" applyFont="1" applyFill="1" applyBorder="1" applyAlignment="1">
      <alignment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24" fillId="0" borderId="3" xfId="0" applyFont="1" applyBorder="1" applyAlignment="1">
      <alignment horizontal="center" vertical="center" wrapText="1"/>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11" fillId="0" borderId="3" xfId="0" applyFont="1" applyFill="1" applyBorder="1" applyAlignment="1">
      <alignment horizontal="center" vertical="center" textRotation="90" wrapText="1"/>
    </xf>
    <xf numFmtId="0" fontId="20" fillId="0" borderId="16" xfId="0" applyFont="1" applyFill="1" applyBorder="1" applyAlignment="1">
      <alignment horizontal="center" vertical="center"/>
    </xf>
    <xf numFmtId="0" fontId="20" fillId="0" borderId="3" xfId="0" applyFont="1" applyFill="1" applyBorder="1" applyAlignment="1">
      <alignment horizontal="center" vertical="center" wrapText="1"/>
    </xf>
    <xf numFmtId="3" fontId="20" fillId="0" borderId="3" xfId="1" applyNumberFormat="1" applyFont="1" applyFill="1" applyBorder="1" applyAlignment="1">
      <alignment vertical="center"/>
    </xf>
    <xf numFmtId="0" fontId="20" fillId="0" borderId="10" xfId="0" applyFont="1" applyFill="1" applyBorder="1" applyAlignment="1">
      <alignment horizontal="center" vertical="center"/>
    </xf>
    <xf numFmtId="3" fontId="20" fillId="0" borderId="10" xfId="0" applyNumberFormat="1" applyFont="1" applyFill="1" applyBorder="1" applyAlignment="1">
      <alignment horizontal="center" vertical="center"/>
    </xf>
    <xf numFmtId="0" fontId="13" fillId="0" borderId="0" xfId="0" applyFont="1" applyFill="1" applyAlignment="1">
      <alignment vertical="center"/>
    </xf>
    <xf numFmtId="3" fontId="11" fillId="0" borderId="4" xfId="0" applyNumberFormat="1" applyFont="1" applyFill="1" applyBorder="1" applyAlignment="1">
      <alignment horizontal="center" vertical="center"/>
    </xf>
    <xf numFmtId="3" fontId="11" fillId="0" borderId="3" xfId="1" applyNumberFormat="1" applyFont="1" applyFill="1" applyBorder="1" applyAlignment="1">
      <alignment vertical="center"/>
    </xf>
    <xf numFmtId="3" fontId="11" fillId="0" borderId="12" xfId="0" applyNumberFormat="1" applyFont="1" applyFill="1" applyBorder="1" applyAlignment="1">
      <alignment vertical="center"/>
    </xf>
    <xf numFmtId="3" fontId="11" fillId="0" borderId="12" xfId="0" applyNumberFormat="1" applyFont="1" applyFill="1" applyBorder="1" applyAlignment="1">
      <alignment horizontal="center" vertical="center"/>
    </xf>
    <xf numFmtId="0" fontId="20" fillId="0" borderId="3" xfId="0" applyFont="1" applyFill="1" applyBorder="1" applyAlignment="1">
      <alignment horizontal="right" vertical="center"/>
    </xf>
    <xf numFmtId="3" fontId="20" fillId="0" borderId="3" xfId="0" applyNumberFormat="1" applyFont="1" applyFill="1" applyBorder="1" applyAlignment="1">
      <alignment vertical="center"/>
    </xf>
    <xf numFmtId="0" fontId="20" fillId="0" borderId="3" xfId="0" applyFont="1" applyFill="1" applyBorder="1" applyAlignment="1">
      <alignment horizontal="left" vertical="center" wrapText="1"/>
    </xf>
    <xf numFmtId="0" fontId="11" fillId="0" borderId="4" xfId="0" applyFont="1" applyFill="1" applyBorder="1" applyAlignment="1">
      <alignment horizontal="right" vertical="center" wrapText="1"/>
    </xf>
    <xf numFmtId="0" fontId="11" fillId="0" borderId="12" xfId="0" applyFont="1" applyFill="1" applyBorder="1" applyAlignment="1">
      <alignment horizontal="right" vertical="center" wrapText="1"/>
    </xf>
    <xf numFmtId="0" fontId="11" fillId="0" borderId="3" xfId="0" applyFont="1" applyFill="1" applyBorder="1" applyAlignment="1">
      <alignment horizontal="center" vertical="center"/>
    </xf>
    <xf numFmtId="3"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20" fillId="0" borderId="3" xfId="0" applyFont="1" applyFill="1" applyBorder="1" applyAlignment="1">
      <alignment horizontal="center" vertical="center"/>
    </xf>
    <xf numFmtId="3" fontId="11"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11" fillId="0" borderId="3" xfId="0" applyFont="1" applyFill="1" applyBorder="1" applyAlignment="1">
      <alignment horizontal="center" vertical="center" textRotation="90" wrapText="1"/>
    </xf>
    <xf numFmtId="0" fontId="11" fillId="0" borderId="3" xfId="0" applyFont="1" applyFill="1" applyBorder="1" applyAlignment="1">
      <alignment horizontal="center" wrapText="1"/>
    </xf>
    <xf numFmtId="3" fontId="24" fillId="0" borderId="7" xfId="0" applyNumberFormat="1" applyFont="1" applyFill="1" applyBorder="1" applyAlignment="1">
      <alignment horizontal="center" vertical="center"/>
    </xf>
    <xf numFmtId="3" fontId="11" fillId="0" borderId="3" xfId="0" applyNumberFormat="1" applyFont="1" applyFill="1" applyBorder="1" applyAlignment="1">
      <alignment horizontal="center" vertical="center"/>
    </xf>
    <xf numFmtId="3" fontId="20" fillId="0" borderId="3" xfId="0" applyNumberFormat="1" applyFont="1" applyFill="1" applyBorder="1" applyAlignment="1">
      <alignment vertical="center" wrapText="1"/>
    </xf>
    <xf numFmtId="3" fontId="20" fillId="0" borderId="0" xfId="0" applyNumberFormat="1" applyFont="1" applyFill="1" applyAlignment="1">
      <alignment vertical="center"/>
    </xf>
    <xf numFmtId="3" fontId="11" fillId="0" borderId="6"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0" fontId="20" fillId="0" borderId="5" xfId="0" applyFont="1" applyFill="1" applyBorder="1" applyAlignment="1">
      <alignment horizontal="center"/>
    </xf>
    <xf numFmtId="0" fontId="20" fillId="0" borderId="0" xfId="0" applyFont="1" applyFill="1" applyBorder="1" applyAlignment="1">
      <alignment horizontal="center"/>
    </xf>
    <xf numFmtId="3" fontId="25" fillId="0" borderId="0" xfId="0" applyNumberFormat="1" applyFont="1" applyBorder="1" applyAlignment="1">
      <alignment horizontal="right" vertical="center" wrapText="1"/>
    </xf>
    <xf numFmtId="0" fontId="11" fillId="0" borderId="10" xfId="0" applyFont="1" applyFill="1" applyBorder="1" applyAlignment="1">
      <alignment horizontal="center" vertical="center" textRotation="90" wrapText="1"/>
    </xf>
    <xf numFmtId="0" fontId="20" fillId="0" borderId="0" xfId="0" applyFont="1" applyFill="1" applyAlignment="1">
      <alignment textRotation="90"/>
    </xf>
    <xf numFmtId="0" fontId="11" fillId="0" borderId="6" xfId="0" applyFont="1" applyFill="1" applyBorder="1" applyAlignment="1">
      <alignment horizontal="center" vertical="center" textRotation="90" wrapText="1"/>
    </xf>
    <xf numFmtId="3" fontId="20" fillId="0" borderId="6" xfId="0" applyNumberFormat="1" applyFont="1" applyFill="1" applyBorder="1" applyAlignment="1">
      <alignment horizontal="right" vertical="center"/>
    </xf>
    <xf numFmtId="3" fontId="11" fillId="0" borderId="6" xfId="0" applyNumberFormat="1" applyFont="1" applyFill="1" applyBorder="1" applyAlignment="1">
      <alignment horizontal="right" vertical="center"/>
    </xf>
    <xf numFmtId="0" fontId="11" fillId="0" borderId="8" xfId="0" applyFont="1" applyFill="1" applyBorder="1" applyAlignment="1">
      <alignment horizontal="center" vertical="center" textRotation="90" wrapText="1"/>
    </xf>
    <xf numFmtId="3" fontId="20" fillId="0" borderId="8" xfId="0" applyNumberFormat="1" applyFont="1" applyFill="1" applyBorder="1" applyAlignment="1">
      <alignment horizontal="right" vertical="center"/>
    </xf>
    <xf numFmtId="3" fontId="11" fillId="0" borderId="6" xfId="1" applyNumberFormat="1" applyFont="1" applyFill="1" applyBorder="1" applyAlignment="1">
      <alignment horizontal="right" vertical="center"/>
    </xf>
    <xf numFmtId="3" fontId="20" fillId="0" borderId="0" xfId="0" applyNumberFormat="1" applyFont="1" applyFill="1" applyBorder="1" applyAlignment="1">
      <alignment horizontal="right" vertical="center"/>
    </xf>
    <xf numFmtId="0" fontId="13" fillId="0" borderId="0" xfId="0" applyFont="1" applyBorder="1"/>
    <xf numFmtId="0" fontId="15" fillId="0" borderId="3" xfId="0" applyFont="1" applyFill="1" applyBorder="1" applyAlignment="1">
      <alignment horizontal="center" vertical="center" textRotation="90" wrapText="1"/>
    </xf>
    <xf numFmtId="3" fontId="20" fillId="0" borderId="0" xfId="0" applyNumberFormat="1" applyFont="1" applyFill="1" applyBorder="1" applyAlignment="1">
      <alignment horizontal="right" vertical="center" wrapText="1"/>
    </xf>
    <xf numFmtId="3" fontId="18" fillId="0" borderId="3" xfId="0" applyNumberFormat="1" applyFont="1" applyFill="1" applyBorder="1" applyAlignment="1">
      <alignment horizontal="right"/>
    </xf>
    <xf numFmtId="0" fontId="15" fillId="0" borderId="3" xfId="0" applyFont="1" applyFill="1" applyBorder="1" applyAlignment="1">
      <alignment horizontal="center" vertical="center" textRotation="90"/>
    </xf>
    <xf numFmtId="0" fontId="15" fillId="0" borderId="10" xfId="0" applyFont="1" applyFill="1" applyBorder="1" applyAlignment="1">
      <alignment horizontal="center" vertical="center" textRotation="90" wrapText="1"/>
    </xf>
    <xf numFmtId="0" fontId="13" fillId="0" borderId="0" xfId="0" applyFont="1" applyAlignment="1">
      <alignment textRotation="90"/>
    </xf>
    <xf numFmtId="3" fontId="11" fillId="0" borderId="3" xfId="0" applyNumberFormat="1" applyFont="1" applyBorder="1"/>
    <xf numFmtId="0" fontId="20" fillId="0" borderId="10" xfId="0" applyFont="1" applyFill="1" applyBorder="1" applyAlignment="1">
      <alignment vertical="center" wrapText="1"/>
    </xf>
    <xf numFmtId="3" fontId="20" fillId="0" borderId="10" xfId="0" applyNumberFormat="1" applyFont="1" applyFill="1" applyBorder="1" applyAlignment="1">
      <alignment horizontal="right" vertical="center"/>
    </xf>
    <xf numFmtId="0" fontId="11" fillId="0" borderId="16" xfId="0" applyFont="1" applyFill="1" applyBorder="1" applyAlignment="1">
      <alignment horizontal="justify" vertical="center" wrapText="1"/>
    </xf>
    <xf numFmtId="3" fontId="20" fillId="0" borderId="10" xfId="0" applyNumberFormat="1" applyFont="1" applyFill="1" applyBorder="1" applyAlignment="1">
      <alignment horizontal="right" vertical="center" wrapText="1"/>
    </xf>
    <xf numFmtId="3" fontId="20" fillId="0" borderId="9" xfId="0" applyNumberFormat="1" applyFont="1" applyFill="1" applyBorder="1" applyAlignment="1">
      <alignment horizontal="right" vertical="center"/>
    </xf>
    <xf numFmtId="3" fontId="20" fillId="0" borderId="4" xfId="0" applyNumberFormat="1" applyFont="1" applyFill="1" applyBorder="1" applyAlignment="1">
      <alignment horizontal="right" vertical="center"/>
    </xf>
    <xf numFmtId="0" fontId="20" fillId="0" borderId="0" xfId="0" applyFont="1" applyFill="1" applyBorder="1" applyAlignment="1">
      <alignment vertical="center" wrapText="1"/>
    </xf>
    <xf numFmtId="0" fontId="20" fillId="0" borderId="14" xfId="0" applyFont="1" applyFill="1" applyBorder="1" applyAlignment="1">
      <alignment horizontal="center" vertical="center"/>
    </xf>
    <xf numFmtId="0" fontId="20" fillId="0" borderId="14" xfId="0" applyFont="1" applyFill="1" applyBorder="1" applyAlignment="1">
      <alignment vertical="center" wrapText="1"/>
    </xf>
    <xf numFmtId="3" fontId="20" fillId="0" borderId="14" xfId="0" applyNumberFormat="1" applyFont="1" applyFill="1" applyBorder="1" applyAlignment="1">
      <alignment horizontal="right" vertical="center" wrapText="1"/>
    </xf>
    <xf numFmtId="0" fontId="20" fillId="0" borderId="16" xfId="0" applyFont="1" applyFill="1" applyBorder="1" applyAlignment="1">
      <alignment vertical="center" wrapText="1"/>
    </xf>
    <xf numFmtId="3" fontId="20" fillId="0" borderId="15" xfId="0" applyNumberFormat="1" applyFont="1" applyFill="1" applyBorder="1" applyAlignment="1">
      <alignment horizontal="right" vertical="center"/>
    </xf>
    <xf numFmtId="3" fontId="20" fillId="0" borderId="16" xfId="0" applyNumberFormat="1" applyFont="1" applyFill="1" applyBorder="1" applyAlignment="1">
      <alignment horizontal="right" vertical="center"/>
    </xf>
    <xf numFmtId="3" fontId="20" fillId="0" borderId="16" xfId="0" applyNumberFormat="1" applyFont="1" applyFill="1" applyBorder="1" applyAlignment="1">
      <alignment horizontal="right" vertical="center" wrapText="1"/>
    </xf>
    <xf numFmtId="0" fontId="13" fillId="0" borderId="14" xfId="0" applyFont="1" applyBorder="1"/>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11" fillId="0" borderId="3" xfId="0" applyFont="1" applyFill="1" applyBorder="1" applyAlignment="1">
      <alignment horizontal="center" vertical="center" textRotation="90" wrapText="1"/>
    </xf>
    <xf numFmtId="3" fontId="18" fillId="0" borderId="10" xfId="0" applyNumberFormat="1" applyFont="1" applyFill="1" applyBorder="1" applyAlignment="1">
      <alignment horizontal="right"/>
    </xf>
    <xf numFmtId="3" fontId="18" fillId="0" borderId="0" xfId="0" applyNumberFormat="1" applyFont="1" applyFill="1" applyBorder="1" applyAlignment="1">
      <alignment horizontal="right"/>
    </xf>
    <xf numFmtId="3" fontId="18" fillId="0" borderId="14" xfId="0" applyNumberFormat="1" applyFont="1" applyFill="1" applyBorder="1" applyAlignment="1">
      <alignment horizontal="right"/>
    </xf>
    <xf numFmtId="0" fontId="13" fillId="0" borderId="0" xfId="0" applyFont="1" applyAlignment="1"/>
    <xf numFmtId="0" fontId="20" fillId="0" borderId="3" xfId="0" applyFont="1" applyFill="1" applyBorder="1" applyAlignment="1">
      <alignment horizontal="center"/>
    </xf>
    <xf numFmtId="3" fontId="20" fillId="0" borderId="3" xfId="0" applyNumberFormat="1" applyFont="1" applyFill="1" applyBorder="1" applyAlignment="1"/>
    <xf numFmtId="3" fontId="20" fillId="0" borderId="3" xfId="0" applyNumberFormat="1" applyFont="1" applyFill="1" applyBorder="1" applyAlignment="1">
      <alignment horizontal="center"/>
    </xf>
    <xf numFmtId="3" fontId="20" fillId="0" borderId="3" xfId="1" applyNumberFormat="1" applyFont="1" applyFill="1" applyBorder="1" applyAlignment="1">
      <alignment horizontal="right"/>
    </xf>
    <xf numFmtId="3" fontId="20" fillId="0" borderId="3" xfId="0" applyNumberFormat="1" applyFont="1" applyFill="1" applyBorder="1" applyAlignment="1">
      <alignment horizontal="right"/>
    </xf>
    <xf numFmtId="3" fontId="20" fillId="0" borderId="3" xfId="1" applyNumberFormat="1" applyFont="1" applyFill="1" applyBorder="1" applyAlignment="1">
      <alignment horizontal="center"/>
    </xf>
    <xf numFmtId="3" fontId="11" fillId="0" borderId="3" xfId="0" applyNumberFormat="1" applyFont="1" applyFill="1" applyBorder="1" applyAlignment="1"/>
    <xf numFmtId="3" fontId="11" fillId="0" borderId="3" xfId="0" applyNumberFormat="1" applyFont="1" applyFill="1" applyBorder="1" applyAlignment="1">
      <alignment horizontal="center"/>
    </xf>
    <xf numFmtId="3" fontId="11" fillId="0" borderId="3" xfId="1" applyNumberFormat="1" applyFont="1" applyFill="1" applyBorder="1" applyAlignment="1">
      <alignment horizontal="right"/>
    </xf>
    <xf numFmtId="3" fontId="11" fillId="0" borderId="3" xfId="1" applyNumberFormat="1" applyFont="1" applyFill="1" applyBorder="1" applyAlignment="1"/>
    <xf numFmtId="0" fontId="13" fillId="0" borderId="5" xfId="0" applyFont="1" applyBorder="1" applyAlignment="1"/>
    <xf numFmtId="3" fontId="11" fillId="0" borderId="5" xfId="0" applyNumberFormat="1" applyFont="1" applyFill="1" applyBorder="1" applyAlignment="1"/>
    <xf numFmtId="3" fontId="11" fillId="0" borderId="4" xfId="0" applyNumberFormat="1" applyFont="1" applyFill="1" applyBorder="1" applyAlignment="1"/>
    <xf numFmtId="1" fontId="13" fillId="0" borderId="0" xfId="0" applyNumberFormat="1" applyFont="1" applyAlignment="1"/>
    <xf numFmtId="3" fontId="43" fillId="0" borderId="0" xfId="0" applyNumberFormat="1" applyFont="1" applyFill="1"/>
    <xf numFmtId="3" fontId="47" fillId="0" borderId="0" xfId="0" applyNumberFormat="1" applyFont="1" applyFill="1" applyBorder="1"/>
    <xf numFmtId="3" fontId="47" fillId="0" borderId="0" xfId="0" applyNumberFormat="1" applyFont="1" applyFill="1"/>
    <xf numFmtId="3" fontId="11" fillId="0" borderId="3" xfId="0" applyNumberFormat="1" applyFont="1" applyFill="1" applyBorder="1" applyAlignment="1">
      <alignment horizontal="center" vertical="center" textRotation="90" wrapText="1"/>
    </xf>
    <xf numFmtId="3" fontId="11" fillId="0" borderId="3" xfId="0" applyNumberFormat="1" applyFont="1" applyFill="1" applyBorder="1" applyAlignment="1">
      <alignment vertical="center" textRotation="90" wrapText="1"/>
    </xf>
    <xf numFmtId="3" fontId="20" fillId="0" borderId="3" xfId="0" applyNumberFormat="1" applyFont="1" applyFill="1" applyBorder="1" applyAlignment="1">
      <alignment horizontal="left" vertical="center" wrapText="1"/>
    </xf>
    <xf numFmtId="3" fontId="11" fillId="0" borderId="3" xfId="0" applyNumberFormat="1" applyFont="1" applyFill="1" applyBorder="1" applyAlignment="1">
      <alignment horizontal="left" vertical="center"/>
    </xf>
    <xf numFmtId="3" fontId="11" fillId="0" borderId="0" xfId="0" applyNumberFormat="1" applyFont="1" applyFill="1" applyBorder="1" applyAlignment="1">
      <alignment horizontal="lef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3" fontId="11" fillId="0" borderId="3" xfId="0" applyNumberFormat="1" applyFont="1" applyFill="1" applyBorder="1" applyAlignment="1">
      <alignment horizontal="center" textRotation="90" wrapText="1"/>
    </xf>
    <xf numFmtId="3" fontId="11" fillId="0" borderId="6" xfId="0" applyNumberFormat="1" applyFont="1" applyFill="1" applyBorder="1" applyAlignment="1">
      <alignment horizontal="center" textRotation="90" wrapText="1"/>
    </xf>
    <xf numFmtId="3" fontId="11" fillId="0" borderId="0" xfId="0" applyNumberFormat="1" applyFont="1" applyFill="1" applyBorder="1" applyAlignment="1">
      <alignment horizontal="center" vertical="center" textRotation="90" wrapText="1"/>
    </xf>
    <xf numFmtId="3" fontId="47" fillId="0" borderId="3" xfId="0" applyNumberFormat="1" applyFont="1" applyFill="1" applyBorder="1" applyAlignment="1">
      <alignment vertical="center"/>
    </xf>
    <xf numFmtId="3" fontId="47" fillId="0" borderId="6" xfId="0" applyNumberFormat="1" applyFont="1" applyFill="1" applyBorder="1" applyAlignment="1">
      <alignment horizontal="center" vertical="center"/>
    </xf>
    <xf numFmtId="3" fontId="47" fillId="0" borderId="6" xfId="0" applyNumberFormat="1" applyFont="1" applyFill="1" applyBorder="1" applyAlignment="1">
      <alignment vertical="center"/>
    </xf>
    <xf numFmtId="3" fontId="47" fillId="0" borderId="0" xfId="0" applyNumberFormat="1" applyFont="1" applyFill="1" applyBorder="1" applyAlignment="1">
      <alignment horizontal="center" vertical="center"/>
    </xf>
    <xf numFmtId="3" fontId="43" fillId="0" borderId="0" xfId="0" applyNumberFormat="1" applyFont="1" applyFill="1" applyAlignment="1">
      <alignment vertical="center"/>
    </xf>
    <xf numFmtId="3" fontId="46" fillId="0" borderId="3" xfId="0" applyNumberFormat="1" applyFont="1" applyFill="1" applyBorder="1" applyAlignment="1">
      <alignment horizontal="right" vertical="center"/>
    </xf>
    <xf numFmtId="3" fontId="20" fillId="0" borderId="6" xfId="0" applyNumberFormat="1" applyFont="1" applyFill="1" applyBorder="1" applyAlignment="1">
      <alignment horizontal="center" vertical="center" wrapText="1"/>
    </xf>
    <xf numFmtId="3" fontId="43" fillId="0" borderId="0" xfId="0" applyNumberFormat="1" applyFont="1" applyFill="1" applyAlignment="1">
      <alignment horizontal="center" vertical="center"/>
    </xf>
    <xf numFmtId="3" fontId="24" fillId="0" borderId="7" xfId="0" applyNumberFormat="1" applyFont="1" applyFill="1" applyBorder="1" applyAlignment="1">
      <alignment vertical="center"/>
    </xf>
    <xf numFmtId="3" fontId="48" fillId="0" borderId="3" xfId="0" applyNumberFormat="1" applyFont="1" applyFill="1" applyBorder="1" applyAlignment="1">
      <alignment vertical="center"/>
    </xf>
    <xf numFmtId="3" fontId="48" fillId="0" borderId="0" xfId="0" applyNumberFormat="1" applyFont="1" applyFill="1" applyBorder="1" applyAlignment="1">
      <alignment horizontal="center" vertical="center"/>
    </xf>
    <xf numFmtId="3" fontId="46" fillId="0" borderId="0" xfId="0" applyNumberFormat="1" applyFont="1" applyFill="1" applyAlignment="1">
      <alignment vertical="center"/>
    </xf>
    <xf numFmtId="3" fontId="46" fillId="0" borderId="0" xfId="0" applyNumberFormat="1" applyFont="1" applyFill="1" applyBorder="1" applyAlignment="1">
      <alignment vertical="center"/>
    </xf>
    <xf numFmtId="3" fontId="46" fillId="0" borderId="0" xfId="0" applyNumberFormat="1" applyFont="1" applyFill="1"/>
    <xf numFmtId="3" fontId="46" fillId="0" borderId="0" xfId="0" applyNumberFormat="1" applyFont="1" applyFill="1" applyBorder="1"/>
    <xf numFmtId="0" fontId="11" fillId="0" borderId="10" xfId="0" applyFont="1" applyFill="1" applyBorder="1" applyAlignment="1">
      <alignment horizontal="center" vertical="center" textRotation="90" wrapText="1"/>
    </xf>
    <xf numFmtId="0" fontId="43" fillId="0" borderId="0" xfId="0" applyFont="1" applyFill="1" applyAlignment="1">
      <alignment horizontal="center" vertical="center"/>
    </xf>
    <xf numFmtId="0" fontId="11" fillId="0" borderId="3" xfId="0" applyFont="1" applyFill="1" applyBorder="1" applyAlignment="1">
      <alignment horizontal="justify" vertical="center"/>
    </xf>
    <xf numFmtId="0" fontId="20" fillId="0" borderId="0" xfId="0" applyFont="1" applyFill="1" applyBorder="1" applyAlignment="1">
      <alignment horizontal="right" vertical="center"/>
    </xf>
    <xf numFmtId="0" fontId="11" fillId="0" borderId="3" xfId="0" applyFont="1" applyFill="1" applyBorder="1" applyAlignment="1">
      <alignment horizontal="center" vertical="center" textRotation="90"/>
    </xf>
    <xf numFmtId="0" fontId="11" fillId="0" borderId="3" xfId="0" applyFont="1" applyFill="1" applyBorder="1" applyAlignment="1">
      <alignment horizontal="center" vertical="center"/>
    </xf>
    <xf numFmtId="3" fontId="11" fillId="0" borderId="0" xfId="0" applyNumberFormat="1" applyFont="1" applyFill="1" applyBorder="1" applyAlignment="1">
      <alignment horizontal="center" vertical="center"/>
    </xf>
    <xf numFmtId="0" fontId="20" fillId="0" borderId="3" xfId="0" applyFont="1" applyFill="1" applyBorder="1" applyAlignment="1">
      <alignment horizontal="center" vertical="center" wrapText="1"/>
    </xf>
    <xf numFmtId="3" fontId="20" fillId="0" borderId="10" xfId="0" applyNumberFormat="1" applyFont="1" applyFill="1" applyBorder="1" applyAlignment="1">
      <alignment horizontal="right"/>
    </xf>
    <xf numFmtId="3" fontId="24" fillId="0" borderId="3" xfId="0" applyNumberFormat="1" applyFont="1" applyBorder="1"/>
    <xf numFmtId="3" fontId="11" fillId="0" borderId="5" xfId="0" applyNumberFormat="1" applyFont="1" applyFill="1" applyBorder="1" applyAlignment="1">
      <alignment horizontal="right" vertical="center"/>
    </xf>
    <xf numFmtId="0" fontId="20" fillId="0" borderId="19" xfId="0" applyFont="1" applyFill="1" applyBorder="1" applyAlignment="1">
      <alignment horizontal="center" vertical="center"/>
    </xf>
    <xf numFmtId="0" fontId="20" fillId="0" borderId="19" xfId="0" applyFont="1" applyFill="1" applyBorder="1" applyAlignment="1">
      <alignment vertical="center" wrapText="1"/>
    </xf>
    <xf numFmtId="3" fontId="20" fillId="0" borderId="19" xfId="0" applyNumberFormat="1" applyFont="1" applyFill="1" applyBorder="1" applyAlignment="1">
      <alignment horizontal="right" vertical="center" wrapText="1"/>
    </xf>
    <xf numFmtId="3" fontId="18" fillId="0" borderId="19" xfId="0" applyNumberFormat="1" applyFont="1" applyFill="1" applyBorder="1" applyAlignment="1">
      <alignment horizontal="right"/>
    </xf>
    <xf numFmtId="3" fontId="20" fillId="0" borderId="19" xfId="0" applyNumberFormat="1" applyFont="1" applyFill="1" applyBorder="1" applyAlignment="1">
      <alignment horizontal="right" vertical="center"/>
    </xf>
    <xf numFmtId="0" fontId="11" fillId="0" borderId="3" xfId="0" applyFont="1" applyFill="1" applyBorder="1" applyAlignment="1">
      <alignment horizontal="center" vertical="center"/>
    </xf>
    <xf numFmtId="0" fontId="11" fillId="0" borderId="8" xfId="0" applyFont="1" applyFill="1" applyBorder="1" applyAlignment="1">
      <alignment horizontal="center" vertical="center"/>
    </xf>
    <xf numFmtId="3"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0" applyFont="1" applyFill="1" applyBorder="1" applyAlignment="1">
      <alignment horizontal="center" vertical="center"/>
    </xf>
    <xf numFmtId="0" fontId="20" fillId="0" borderId="3" xfId="0" applyFont="1" applyFill="1" applyBorder="1" applyAlignment="1">
      <alignment horizontal="center" vertical="center"/>
    </xf>
    <xf numFmtId="0" fontId="11" fillId="0" borderId="3" xfId="0" applyFont="1" applyFill="1" applyBorder="1" applyAlignment="1">
      <alignment horizontal="center"/>
    </xf>
    <xf numFmtId="0" fontId="11" fillId="0" borderId="3" xfId="0" applyFont="1" applyFill="1" applyBorder="1" applyAlignment="1">
      <alignment horizontal="center" wrapText="1"/>
    </xf>
    <xf numFmtId="3" fontId="24" fillId="0" borderId="3" xfId="0" applyNumberFormat="1" applyFont="1" applyFill="1" applyBorder="1" applyAlignment="1">
      <alignment horizontal="center" vertical="center"/>
    </xf>
    <xf numFmtId="3" fontId="11" fillId="0" borderId="3" xfId="0" applyNumberFormat="1"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3" borderId="5" xfId="0" applyFont="1" applyFill="1" applyBorder="1" applyAlignment="1">
      <alignment horizontal="center" vertical="center"/>
    </xf>
    <xf numFmtId="0" fontId="11" fillId="0" borderId="3" xfId="0" applyFont="1" applyFill="1" applyBorder="1" applyAlignment="1">
      <alignment horizontal="center" vertical="center" textRotation="90" wrapText="1"/>
    </xf>
    <xf numFmtId="0" fontId="20" fillId="0" borderId="3" xfId="0" applyFont="1" applyBorder="1" applyAlignment="1">
      <alignment horizontal="center" vertical="center" wrapText="1"/>
    </xf>
    <xf numFmtId="0" fontId="20" fillId="0" borderId="3" xfId="0" applyFont="1" applyFill="1" applyBorder="1" applyAlignment="1">
      <alignment horizontal="center" vertical="center" wrapText="1"/>
    </xf>
    <xf numFmtId="0" fontId="24" fillId="0" borderId="3" xfId="0" applyFont="1" applyFill="1" applyBorder="1" applyAlignment="1">
      <alignment horizontal="center" vertical="center"/>
    </xf>
    <xf numFmtId="0" fontId="20" fillId="0" borderId="10" xfId="0" applyFont="1" applyBorder="1" applyAlignment="1">
      <alignment horizontal="center" vertical="center" wrapText="1"/>
    </xf>
    <xf numFmtId="3" fontId="11" fillId="0" borderId="0" xfId="0" applyNumberFormat="1" applyFont="1" applyFill="1" applyBorder="1" applyAlignment="1">
      <alignment horizontal="right" vertical="center"/>
    </xf>
    <xf numFmtId="0" fontId="11" fillId="0" borderId="3" xfId="0" applyFont="1" applyFill="1" applyBorder="1" applyAlignment="1">
      <alignment horizontal="center" vertical="center"/>
    </xf>
    <xf numFmtId="3"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wrapText="1"/>
    </xf>
    <xf numFmtId="0" fontId="20" fillId="0" borderId="3" xfId="0" applyFont="1" applyFill="1" applyBorder="1" applyAlignment="1">
      <alignment horizontal="center" vertical="center"/>
    </xf>
    <xf numFmtId="3" fontId="24" fillId="0" borderId="3" xfId="0" applyNumberFormat="1" applyFont="1" applyFill="1" applyBorder="1" applyAlignment="1">
      <alignment horizontal="center" vertical="center"/>
    </xf>
    <xf numFmtId="3" fontId="11" fillId="0" borderId="3" xfId="0" applyNumberFormat="1" applyFont="1" applyFill="1" applyBorder="1" applyAlignment="1">
      <alignment horizontal="center" vertical="center"/>
    </xf>
    <xf numFmtId="0" fontId="11" fillId="0" borderId="10" xfId="0" applyFont="1" applyFill="1" applyBorder="1" applyAlignment="1">
      <alignment horizontal="center" vertical="center" textRotation="90" wrapText="1"/>
    </xf>
    <xf numFmtId="3" fontId="11" fillId="0" borderId="0" xfId="0" applyNumberFormat="1" applyFont="1" applyFill="1" applyBorder="1" applyAlignment="1">
      <alignment horizontal="center" vertical="center"/>
    </xf>
    <xf numFmtId="0" fontId="11" fillId="0" borderId="3" xfId="0" applyFont="1" applyFill="1" applyBorder="1" applyAlignment="1">
      <alignment horizontal="center" vertical="center" textRotation="90" wrapText="1"/>
    </xf>
    <xf numFmtId="0" fontId="20" fillId="0" borderId="3" xfId="0" applyFont="1" applyFill="1" applyBorder="1" applyAlignment="1">
      <alignment horizontal="center" vertical="center" wrapText="1"/>
    </xf>
    <xf numFmtId="3" fontId="20" fillId="0" borderId="10" xfId="1" applyNumberFormat="1" applyFont="1" applyFill="1" applyBorder="1" applyAlignment="1">
      <alignment vertical="center"/>
    </xf>
    <xf numFmtId="3" fontId="20" fillId="0" borderId="5" xfId="1" applyNumberFormat="1" applyFont="1" applyFill="1" applyBorder="1" applyAlignment="1">
      <alignment vertical="center"/>
    </xf>
    <xf numFmtId="3" fontId="20" fillId="0" borderId="0" xfId="1" applyNumberFormat="1" applyFont="1" applyFill="1" applyBorder="1" applyAlignment="1">
      <alignment vertical="center"/>
    </xf>
    <xf numFmtId="0" fontId="20" fillId="0" borderId="5" xfId="0" applyFont="1" applyFill="1" applyBorder="1" applyAlignment="1">
      <alignment vertical="center" wrapText="1"/>
    </xf>
    <xf numFmtId="3" fontId="20" fillId="0" borderId="5" xfId="0" applyNumberFormat="1" applyFont="1" applyFill="1" applyBorder="1" applyAlignment="1">
      <alignment horizontal="right" vertical="center" wrapText="1"/>
    </xf>
    <xf numFmtId="3" fontId="18" fillId="0" borderId="5" xfId="0" applyNumberFormat="1" applyFont="1" applyFill="1" applyBorder="1" applyAlignment="1">
      <alignment horizontal="right"/>
    </xf>
    <xf numFmtId="0" fontId="15" fillId="0" borderId="3" xfId="0" applyFont="1" applyFill="1" applyBorder="1" applyAlignment="1">
      <alignment horizontal="center" vertical="center" wrapText="1"/>
    </xf>
    <xf numFmtId="0" fontId="20" fillId="0" borderId="5" xfId="0" applyFont="1" applyFill="1" applyBorder="1" applyAlignment="1">
      <alignment horizontal="right" vertical="center"/>
    </xf>
    <xf numFmtId="3" fontId="20" fillId="0" borderId="5" xfId="0" applyNumberFormat="1" applyFont="1" applyFill="1" applyBorder="1" applyAlignment="1">
      <alignment vertical="center"/>
    </xf>
    <xf numFmtId="168" fontId="47" fillId="0" borderId="3" xfId="0" applyNumberFormat="1" applyFont="1" applyFill="1" applyBorder="1" applyAlignment="1">
      <alignment vertical="center"/>
    </xf>
    <xf numFmtId="168" fontId="47" fillId="0" borderId="5" xfId="0" applyNumberFormat="1" applyFont="1" applyFill="1" applyBorder="1" applyAlignment="1">
      <alignment vertical="center"/>
    </xf>
    <xf numFmtId="168" fontId="47" fillId="0" borderId="0" xfId="0" applyNumberFormat="1" applyFont="1" applyFill="1" applyBorder="1" applyAlignment="1">
      <alignment vertical="center"/>
    </xf>
    <xf numFmtId="0" fontId="20" fillId="3" borderId="0" xfId="0" applyFont="1" applyFill="1" applyBorder="1" applyAlignment="1">
      <alignment vertical="center" wrapText="1"/>
    </xf>
    <xf numFmtId="3" fontId="20" fillId="3" borderId="0" xfId="0" applyNumberFormat="1" applyFont="1" applyFill="1" applyBorder="1" applyAlignment="1">
      <alignment horizontal="center" vertical="center"/>
    </xf>
    <xf numFmtId="3" fontId="20" fillId="3" borderId="0" xfId="0" applyNumberFormat="1" applyFont="1" applyFill="1" applyBorder="1" applyAlignment="1">
      <alignment horizontal="right" vertical="center"/>
    </xf>
    <xf numFmtId="0" fontId="20" fillId="0" borderId="0" xfId="0" applyFont="1" applyBorder="1" applyAlignment="1">
      <alignment vertical="center"/>
    </xf>
    <xf numFmtId="3" fontId="11" fillId="0" borderId="10" xfId="0" applyNumberFormat="1" applyFont="1" applyFill="1" applyBorder="1" applyAlignment="1">
      <alignment vertical="center"/>
    </xf>
    <xf numFmtId="3" fontId="11" fillId="0" borderId="19" xfId="0" applyNumberFormat="1" applyFont="1" applyFill="1" applyBorder="1" applyAlignment="1">
      <alignment vertical="center"/>
    </xf>
    <xf numFmtId="0" fontId="11" fillId="3" borderId="7" xfId="0" applyFont="1" applyFill="1" applyBorder="1" applyAlignment="1">
      <alignment horizontal="center" vertical="center"/>
    </xf>
    <xf numFmtId="3" fontId="11" fillId="0" borderId="7" xfId="0" applyNumberFormat="1" applyFont="1" applyFill="1" applyBorder="1" applyAlignment="1">
      <alignment vertical="center"/>
    </xf>
    <xf numFmtId="0" fontId="18" fillId="0" borderId="6" xfId="0" applyFont="1" applyFill="1" applyBorder="1" applyAlignment="1">
      <alignment horizontal="center" vertical="center" wrapText="1"/>
    </xf>
    <xf numFmtId="0" fontId="18" fillId="0" borderId="3" xfId="0" applyFont="1" applyFill="1" applyBorder="1" applyAlignment="1">
      <alignment horizontal="justify" vertical="center" wrapText="1"/>
    </xf>
    <xf numFmtId="0" fontId="18" fillId="0" borderId="3" xfId="0" applyFont="1" applyFill="1" applyBorder="1" applyAlignment="1">
      <alignment horizontal="center" vertical="center" wrapText="1"/>
    </xf>
    <xf numFmtId="0" fontId="37" fillId="0" borderId="3" xfId="0" applyFont="1" applyFill="1" applyBorder="1" applyAlignment="1">
      <alignment horizontal="left" vertical="center" wrapText="1"/>
    </xf>
    <xf numFmtId="0" fontId="20" fillId="0" borderId="3" xfId="0" applyFont="1" applyFill="1" applyBorder="1"/>
    <xf numFmtId="4" fontId="20" fillId="0" borderId="3" xfId="0" applyNumberFormat="1" applyFont="1" applyFill="1" applyBorder="1" applyAlignment="1">
      <alignment horizontal="center"/>
    </xf>
    <xf numFmtId="0" fontId="47" fillId="0" borderId="3" xfId="0" applyFont="1" applyFill="1" applyBorder="1"/>
    <xf numFmtId="4" fontId="20" fillId="0" borderId="3" xfId="0" applyNumberFormat="1" applyFont="1" applyFill="1" applyBorder="1"/>
    <xf numFmtId="3" fontId="47" fillId="0" borderId="3" xfId="1" applyNumberFormat="1" applyFont="1" applyFill="1" applyBorder="1" applyAlignment="1">
      <alignment horizontal="right"/>
    </xf>
    <xf numFmtId="0" fontId="20" fillId="0" borderId="3" xfId="0" applyFont="1" applyFill="1" applyBorder="1" applyAlignment="1">
      <alignment horizontal="right"/>
    </xf>
    <xf numFmtId="4" fontId="20" fillId="0" borderId="3" xfId="1" applyNumberFormat="1" applyFont="1" applyFill="1" applyBorder="1" applyAlignment="1">
      <alignment horizontal="right"/>
    </xf>
    <xf numFmtId="0" fontId="11" fillId="0" borderId="3" xfId="0" applyFont="1" applyFill="1" applyBorder="1"/>
    <xf numFmtId="4" fontId="11" fillId="0" borderId="3" xfId="0" applyNumberFormat="1" applyFont="1" applyFill="1" applyBorder="1"/>
    <xf numFmtId="3" fontId="11" fillId="0" borderId="3" xfId="0" applyNumberFormat="1" applyFont="1" applyFill="1" applyBorder="1" applyAlignment="1">
      <alignment horizontal="right"/>
    </xf>
    <xf numFmtId="0" fontId="11" fillId="0" borderId="3" xfId="0" applyFont="1" applyFill="1" applyBorder="1" applyAlignment="1">
      <alignment horizontal="right"/>
    </xf>
    <xf numFmtId="4" fontId="11" fillId="0" borderId="3" xfId="1" applyNumberFormat="1" applyFont="1" applyFill="1" applyBorder="1" applyAlignment="1">
      <alignment horizontal="right"/>
    </xf>
    <xf numFmtId="4" fontId="25" fillId="0" borderId="3" xfId="0" applyNumberFormat="1" applyFont="1" applyFill="1" applyBorder="1" applyAlignment="1">
      <alignment vertical="center"/>
    </xf>
    <xf numFmtId="2" fontId="25" fillId="0" borderId="3" xfId="0" applyNumberFormat="1" applyFont="1" applyFill="1" applyBorder="1" applyAlignment="1">
      <alignment vertical="center"/>
    </xf>
    <xf numFmtId="0" fontId="24" fillId="0" borderId="3" xfId="0" applyFont="1" applyFill="1" applyBorder="1" applyAlignment="1">
      <alignment vertical="center"/>
    </xf>
    <xf numFmtId="0" fontId="25" fillId="0" borderId="0" xfId="0" applyFont="1" applyFill="1" applyAlignment="1">
      <alignment horizontal="center" vertical="center"/>
    </xf>
    <xf numFmtId="3" fontId="25" fillId="0" borderId="3" xfId="0" applyNumberFormat="1" applyFont="1" applyFill="1" applyBorder="1" applyAlignment="1">
      <alignment horizontal="center" vertical="center"/>
    </xf>
    <xf numFmtId="3" fontId="11" fillId="0" borderId="8" xfId="0" applyNumberFormat="1" applyFont="1" applyFill="1" applyBorder="1" applyAlignment="1">
      <alignment vertical="center"/>
    </xf>
    <xf numFmtId="0" fontId="47" fillId="0" borderId="5" xfId="0" applyFont="1" applyFill="1" applyBorder="1" applyAlignment="1">
      <alignment vertical="center"/>
    </xf>
    <xf numFmtId="0" fontId="47" fillId="0" borderId="0" xfId="0" applyFont="1" applyFill="1" applyBorder="1" applyAlignment="1">
      <alignment vertical="center"/>
    </xf>
    <xf numFmtId="0" fontId="20" fillId="0" borderId="0" xfId="0" applyFont="1" applyFill="1" applyBorder="1" applyAlignment="1">
      <alignment horizontal="center" vertical="center" wrapText="1"/>
    </xf>
    <xf numFmtId="0" fontId="47" fillId="0" borderId="0" xfId="0" applyFont="1" applyFill="1"/>
    <xf numFmtId="0" fontId="47" fillId="0" borderId="0" xfId="0" applyFont="1" applyFill="1" applyAlignment="1">
      <alignment horizontal="center" vertical="center"/>
    </xf>
    <xf numFmtId="0" fontId="47" fillId="0" borderId="5" xfId="0" applyFont="1" applyFill="1" applyBorder="1" applyAlignment="1">
      <alignment horizontal="center" vertical="center"/>
    </xf>
    <xf numFmtId="1" fontId="20" fillId="0" borderId="3" xfId="0" applyNumberFormat="1" applyFont="1" applyFill="1" applyBorder="1" applyAlignment="1">
      <alignment horizontal="center" vertical="center"/>
    </xf>
    <xf numFmtId="0" fontId="47" fillId="0" borderId="0" xfId="0" applyFont="1" applyFill="1" applyBorder="1" applyAlignment="1">
      <alignment horizontal="center" vertical="center"/>
    </xf>
    <xf numFmtId="0" fontId="20" fillId="0" borderId="3" xfId="0" applyFont="1" applyBorder="1" applyAlignment="1">
      <alignment vertical="center" wrapText="1"/>
    </xf>
    <xf numFmtId="3" fontId="20" fillId="0" borderId="3" xfId="0" applyNumberFormat="1" applyFont="1" applyBorder="1" applyAlignment="1">
      <alignment horizontal="right" vertical="center" wrapText="1"/>
    </xf>
    <xf numFmtId="0" fontId="20" fillId="0" borderId="3" xfId="0" applyFont="1" applyBorder="1" applyAlignment="1">
      <alignment horizontal="justify" vertical="center" wrapText="1"/>
    </xf>
    <xf numFmtId="0" fontId="20" fillId="0" borderId="3" xfId="0" applyFont="1" applyBorder="1" applyAlignment="1">
      <alignment horizontal="justify" vertical="center"/>
    </xf>
    <xf numFmtId="0" fontId="43" fillId="0" borderId="0" xfId="0" applyFont="1" applyAlignment="1">
      <alignment vertical="center"/>
    </xf>
    <xf numFmtId="3" fontId="11" fillId="0" borderId="3" xfId="0" applyNumberFormat="1" applyFont="1" applyBorder="1" applyAlignment="1">
      <alignment horizontal="right" vertical="center"/>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20" fillId="0" borderId="3" xfId="0" applyFont="1" applyFill="1" applyBorder="1" applyAlignment="1">
      <alignment horizontal="center" vertical="center"/>
    </xf>
    <xf numFmtId="0" fontId="11" fillId="0" borderId="3" xfId="0" applyFont="1" applyFill="1" applyBorder="1" applyAlignment="1">
      <alignment horizontal="center" wrapText="1"/>
    </xf>
    <xf numFmtId="3" fontId="24" fillId="0" borderId="3" xfId="0" applyNumberFormat="1" applyFont="1" applyFill="1" applyBorder="1" applyAlignment="1">
      <alignment horizontal="center" vertical="center"/>
    </xf>
    <xf numFmtId="0" fontId="24" fillId="0" borderId="1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6" fillId="0" borderId="14" xfId="0" applyFont="1" applyBorder="1" applyAlignment="1">
      <alignment horizontal="center"/>
    </xf>
    <xf numFmtId="3" fontId="24" fillId="0" borderId="3" xfId="0" applyNumberFormat="1"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12" xfId="0" applyFont="1" applyFill="1" applyBorder="1" applyAlignment="1">
      <alignment vertical="center" wrapText="1"/>
    </xf>
    <xf numFmtId="0" fontId="20" fillId="0" borderId="5" xfId="0" applyFont="1" applyFill="1" applyBorder="1" applyAlignment="1">
      <alignment horizontal="center" vertical="center" wrapText="1"/>
    </xf>
    <xf numFmtId="3" fontId="20" fillId="0" borderId="5" xfId="0"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0" fontId="36" fillId="0" borderId="0" xfId="0" applyFont="1" applyFill="1" applyAlignment="1">
      <alignment vertical="center"/>
    </xf>
    <xf numFmtId="166" fontId="11" fillId="0" borderId="0" xfId="0" applyNumberFormat="1" applyFont="1" applyFill="1" applyBorder="1" applyAlignment="1">
      <alignment vertical="center"/>
    </xf>
    <xf numFmtId="167" fontId="11" fillId="0" borderId="8" xfId="0" applyNumberFormat="1" applyFont="1" applyFill="1" applyBorder="1" applyAlignment="1">
      <alignment vertical="center"/>
    </xf>
    <xf numFmtId="3" fontId="25" fillId="0" borderId="0" xfId="0" applyNumberFormat="1" applyFont="1" applyFill="1"/>
    <xf numFmtId="0" fontId="24" fillId="0" borderId="3" xfId="0" applyFont="1" applyFill="1" applyBorder="1" applyAlignment="1">
      <alignment horizontal="center" vertical="center" textRotation="90" wrapText="1"/>
    </xf>
    <xf numFmtId="0" fontId="20" fillId="0" borderId="3" xfId="0" applyFont="1" applyFill="1" applyBorder="1" applyAlignment="1">
      <alignment vertical="center" wrapText="1"/>
    </xf>
    <xf numFmtId="0" fontId="18" fillId="0" borderId="0" xfId="0" applyFont="1" applyFill="1" applyAlignment="1">
      <alignment vertical="center"/>
    </xf>
    <xf numFmtId="3" fontId="41" fillId="0" borderId="3" xfId="0" applyNumberFormat="1" applyFont="1" applyBorder="1"/>
    <xf numFmtId="3" fontId="11" fillId="0" borderId="0" xfId="0" applyNumberFormat="1" applyFont="1" applyFill="1" applyBorder="1" applyAlignment="1">
      <alignment horizontal="center" vertical="center" wrapText="1"/>
    </xf>
    <xf numFmtId="3" fontId="11" fillId="0" borderId="0" xfId="0" applyNumberFormat="1" applyFont="1" applyFill="1" applyBorder="1" applyAlignment="1">
      <alignment vertical="center"/>
    </xf>
    <xf numFmtId="3" fontId="11" fillId="0" borderId="4" xfId="0" applyNumberFormat="1" applyFont="1" applyFill="1" applyBorder="1" applyAlignment="1">
      <alignment vertical="center"/>
    </xf>
    <xf numFmtId="0" fontId="24" fillId="0" borderId="0" xfId="0" applyFont="1" applyFill="1" applyAlignment="1">
      <alignment vertical="center"/>
    </xf>
    <xf numFmtId="0" fontId="25" fillId="0" borderId="0" xfId="0" applyFont="1" applyFill="1" applyAlignment="1">
      <alignment vertical="center" wrapText="1"/>
    </xf>
    <xf numFmtId="0" fontId="13" fillId="0" borderId="0" xfId="0" applyFont="1" applyFill="1" applyAlignment="1">
      <alignment horizontal="center" vertical="center"/>
    </xf>
    <xf numFmtId="0" fontId="11"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0" xfId="0" applyFont="1" applyFill="1" applyBorder="1" applyAlignment="1">
      <alignment horizontal="center" vertical="center"/>
    </xf>
    <xf numFmtId="3" fontId="24" fillId="0" borderId="3"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24" fillId="0" borderId="3" xfId="0" applyFont="1" applyFill="1" applyBorder="1" applyAlignment="1">
      <alignment horizontal="center" vertical="center" wrapText="1"/>
    </xf>
    <xf numFmtId="3" fontId="24" fillId="0" borderId="3" xfId="0" applyNumberFormat="1" applyFont="1" applyFill="1" applyBorder="1" applyAlignment="1">
      <alignment horizontal="center" vertical="center" wrapText="1"/>
    </xf>
    <xf numFmtId="0" fontId="47" fillId="0" borderId="0" xfId="0" applyFont="1"/>
    <xf numFmtId="0" fontId="11" fillId="0" borderId="3" xfId="0" applyFont="1" applyFill="1" applyBorder="1" applyAlignment="1">
      <alignment wrapText="1"/>
    </xf>
    <xf numFmtId="0" fontId="20" fillId="0" borderId="3" xfId="0" applyFont="1" applyFill="1" applyBorder="1" applyAlignment="1">
      <alignment wrapText="1"/>
    </xf>
    <xf numFmtId="3" fontId="20" fillId="0" borderId="3" xfId="0" applyNumberFormat="1" applyFont="1" applyFill="1" applyBorder="1" applyAlignment="1">
      <alignment horizontal="center" wrapText="1"/>
    </xf>
    <xf numFmtId="3" fontId="11" fillId="0" borderId="3" xfId="0" applyNumberFormat="1" applyFont="1" applyFill="1" applyBorder="1" applyAlignment="1">
      <alignment horizontal="center" wrapText="1"/>
    </xf>
    <xf numFmtId="0" fontId="11" fillId="0" borderId="3" xfId="0" applyFont="1" applyBorder="1" applyAlignment="1">
      <alignment wrapText="1"/>
    </xf>
    <xf numFmtId="0" fontId="11" fillId="0" borderId="3" xfId="0" applyFont="1" applyBorder="1" applyAlignment="1">
      <alignment horizontal="center" wrapText="1"/>
    </xf>
    <xf numFmtId="0" fontId="20" fillId="0" borderId="3" xfId="0" applyFont="1" applyBorder="1" applyAlignment="1">
      <alignment wrapText="1"/>
    </xf>
    <xf numFmtId="3" fontId="20" fillId="0" borderId="3" xfId="0" applyNumberFormat="1" applyFont="1" applyBorder="1" applyAlignment="1">
      <alignment horizontal="center" wrapText="1"/>
    </xf>
    <xf numFmtId="3" fontId="11" fillId="0" borderId="3" xfId="0" applyNumberFormat="1" applyFont="1" applyBorder="1" applyAlignment="1">
      <alignment horizontal="center" wrapText="1"/>
    </xf>
    <xf numFmtId="0" fontId="47" fillId="0" borderId="0" xfId="0" applyFont="1" applyAlignment="1">
      <alignment vertical="center"/>
    </xf>
    <xf numFmtId="0" fontId="25" fillId="0" borderId="16" xfId="0" applyFont="1" applyFill="1" applyBorder="1" applyAlignment="1">
      <alignment horizontal="center" vertical="center"/>
    </xf>
    <xf numFmtId="0" fontId="25" fillId="0" borderId="16" xfId="0" applyFont="1" applyFill="1" applyBorder="1" applyAlignment="1">
      <alignment vertical="center" wrapText="1"/>
    </xf>
    <xf numFmtId="3" fontId="25" fillId="0" borderId="16" xfId="0" applyNumberFormat="1" applyFont="1" applyFill="1" applyBorder="1" applyAlignment="1">
      <alignment horizontal="right" vertical="center"/>
    </xf>
    <xf numFmtId="0" fontId="25" fillId="0" borderId="5" xfId="0" applyFont="1" applyFill="1" applyBorder="1" applyAlignment="1">
      <alignment vertical="center" wrapText="1"/>
    </xf>
    <xf numFmtId="0" fontId="25" fillId="0" borderId="5" xfId="0" applyFont="1" applyFill="1" applyBorder="1" applyAlignment="1">
      <alignment horizontal="right" vertical="center"/>
    </xf>
    <xf numFmtId="3" fontId="25" fillId="0" borderId="5" xfId="0" applyNumberFormat="1" applyFont="1" applyFill="1" applyBorder="1" applyAlignment="1">
      <alignment horizontal="right" vertical="center"/>
    </xf>
    <xf numFmtId="0" fontId="25" fillId="0" borderId="0" xfId="0" applyFont="1" applyFill="1" applyBorder="1" applyAlignment="1">
      <alignment vertical="center" wrapText="1"/>
    </xf>
    <xf numFmtId="0" fontId="25" fillId="0" borderId="0" xfId="0" applyFont="1" applyFill="1" applyBorder="1" applyAlignment="1">
      <alignment horizontal="right" vertical="center"/>
    </xf>
    <xf numFmtId="3" fontId="25" fillId="0" borderId="0" xfId="0" applyNumberFormat="1" applyFont="1" applyFill="1" applyBorder="1" applyAlignment="1">
      <alignment horizontal="right" vertical="center"/>
    </xf>
    <xf numFmtId="0" fontId="0" fillId="0" borderId="0" xfId="0" applyAlignment="1"/>
    <xf numFmtId="0" fontId="25" fillId="0" borderId="10" xfId="0" applyFont="1" applyFill="1" applyBorder="1" applyAlignment="1">
      <alignment horizontal="center" vertical="center"/>
    </xf>
    <xf numFmtId="0" fontId="25" fillId="0" borderId="10" xfId="0" applyFont="1" applyFill="1" applyBorder="1" applyAlignment="1">
      <alignment vertical="center" wrapText="1"/>
    </xf>
    <xf numFmtId="3" fontId="25" fillId="0" borderId="10" xfId="0" applyNumberFormat="1" applyFont="1" applyFill="1" applyBorder="1" applyAlignment="1">
      <alignment horizontal="right" vertical="center"/>
    </xf>
    <xf numFmtId="0" fontId="25" fillId="0" borderId="14" xfId="0" applyFont="1" applyFill="1" applyBorder="1" applyAlignment="1">
      <alignment horizontal="center" vertical="center"/>
    </xf>
    <xf numFmtId="0" fontId="25" fillId="0" borderId="14" xfId="0" applyFont="1" applyFill="1" applyBorder="1" applyAlignment="1">
      <alignment vertical="center" wrapText="1"/>
    </xf>
    <xf numFmtId="3" fontId="25" fillId="0" borderId="14" xfId="0" applyNumberFormat="1" applyFont="1" applyFill="1" applyBorder="1" applyAlignment="1">
      <alignment horizontal="right" vertical="center"/>
    </xf>
    <xf numFmtId="0" fontId="9" fillId="0" borderId="3" xfId="0" applyFont="1" applyFill="1" applyBorder="1" applyAlignment="1">
      <alignment horizontal="center"/>
    </xf>
    <xf numFmtId="0" fontId="9" fillId="0" borderId="3" xfId="0" applyFont="1" applyFill="1" applyBorder="1" applyAlignment="1">
      <alignment wrapText="1"/>
    </xf>
    <xf numFmtId="3" fontId="9" fillId="0" borderId="3" xfId="0" applyNumberFormat="1" applyFont="1" applyFill="1" applyBorder="1" applyAlignment="1">
      <alignment horizontal="right"/>
    </xf>
    <xf numFmtId="0" fontId="23" fillId="0" borderId="3" xfId="0" applyFont="1" applyFill="1" applyBorder="1" applyAlignment="1">
      <alignment wrapText="1"/>
    </xf>
    <xf numFmtId="3" fontId="8" fillId="0" borderId="3" xfId="0" applyNumberFormat="1" applyFont="1" applyFill="1" applyBorder="1" applyAlignment="1">
      <alignment horizontal="right"/>
    </xf>
    <xf numFmtId="0" fontId="0" fillId="0" borderId="0" xfId="0" applyFill="1" applyBorder="1" applyAlignment="1">
      <alignment horizontal="center"/>
    </xf>
    <xf numFmtId="0" fontId="0" fillId="0" borderId="0" xfId="0" applyFill="1" applyBorder="1" applyAlignment="1"/>
    <xf numFmtId="3" fontId="0" fillId="0" borderId="0" xfId="0" applyNumberFormat="1" applyFill="1" applyBorder="1" applyAlignment="1"/>
    <xf numFmtId="0" fontId="9" fillId="0" borderId="5" xfId="0" applyFont="1" applyFill="1" applyBorder="1" applyAlignment="1">
      <alignment horizontal="center"/>
    </xf>
    <xf numFmtId="0" fontId="9" fillId="0" borderId="5" xfId="0" applyFont="1" applyFill="1" applyBorder="1" applyAlignment="1">
      <alignment wrapText="1"/>
    </xf>
    <xf numFmtId="3" fontId="9" fillId="0" borderId="5" xfId="0" applyNumberFormat="1" applyFont="1" applyFill="1" applyBorder="1" applyAlignment="1">
      <alignment horizontal="right"/>
    </xf>
    <xf numFmtId="0" fontId="9" fillId="0" borderId="0" xfId="0" applyFont="1" applyFill="1" applyBorder="1" applyAlignment="1">
      <alignment horizontal="center"/>
    </xf>
    <xf numFmtId="0" fontId="9" fillId="0" borderId="0" xfId="0" applyFont="1" applyFill="1" applyBorder="1" applyAlignment="1">
      <alignment wrapText="1"/>
    </xf>
    <xf numFmtId="3" fontId="9" fillId="0" borderId="0" xfId="0" applyNumberFormat="1" applyFont="1" applyFill="1" applyBorder="1" applyAlignment="1">
      <alignment horizontal="right"/>
    </xf>
    <xf numFmtId="3" fontId="9" fillId="0" borderId="14" xfId="0" applyNumberFormat="1" applyFont="1" applyFill="1" applyBorder="1" applyAlignment="1">
      <alignment horizontal="right"/>
    </xf>
    <xf numFmtId="3" fontId="25" fillId="0" borderId="5" xfId="0" applyNumberFormat="1" applyFont="1" applyFill="1" applyBorder="1" applyAlignment="1">
      <alignment horizontal="right"/>
    </xf>
    <xf numFmtId="3" fontId="25" fillId="0" borderId="0" xfId="0" applyNumberFormat="1" applyFont="1" applyFill="1" applyBorder="1" applyAlignment="1">
      <alignment horizontal="right"/>
    </xf>
    <xf numFmtId="0" fontId="0" fillId="0" borderId="0" xfId="0" applyAlignment="1">
      <alignment vertical="center" textRotation="90" wrapText="1"/>
    </xf>
    <xf numFmtId="3" fontId="25" fillId="0" borderId="5" xfId="0" applyNumberFormat="1" applyFont="1" applyFill="1" applyBorder="1" applyAlignment="1">
      <alignment horizontal="center" vertical="center"/>
    </xf>
    <xf numFmtId="3" fontId="25" fillId="0" borderId="5" xfId="0" applyNumberFormat="1" applyFont="1" applyFill="1" applyBorder="1" applyAlignment="1">
      <alignment vertical="center" wrapText="1"/>
    </xf>
    <xf numFmtId="3" fontId="25" fillId="0" borderId="0" xfId="0" applyNumberFormat="1" applyFont="1" applyFill="1" applyBorder="1" applyAlignment="1">
      <alignment horizontal="center" vertical="center"/>
    </xf>
    <xf numFmtId="3" fontId="25" fillId="0" borderId="0" xfId="0" applyNumberFormat="1" applyFont="1" applyFill="1" applyBorder="1" applyAlignment="1">
      <alignment vertical="center" wrapText="1"/>
    </xf>
    <xf numFmtId="3" fontId="43" fillId="0" borderId="5" xfId="0" applyNumberFormat="1" applyFont="1" applyFill="1" applyBorder="1" applyAlignment="1">
      <alignment horizontal="center" vertical="center"/>
    </xf>
    <xf numFmtId="3" fontId="43" fillId="0" borderId="5" xfId="0" applyNumberFormat="1" applyFont="1" applyFill="1" applyBorder="1" applyAlignment="1">
      <alignment vertical="center"/>
    </xf>
    <xf numFmtId="3" fontId="43" fillId="0" borderId="4" xfId="0" applyNumberFormat="1" applyFont="1" applyFill="1" applyBorder="1" applyAlignment="1">
      <alignment vertical="center"/>
    </xf>
    <xf numFmtId="3" fontId="43" fillId="0" borderId="0" xfId="0" applyNumberFormat="1" applyFont="1" applyFill="1" applyBorder="1" applyAlignment="1">
      <alignment horizontal="center" vertical="center"/>
    </xf>
    <xf numFmtId="3" fontId="43" fillId="0" borderId="12" xfId="0" applyNumberFormat="1" applyFont="1" applyFill="1" applyBorder="1" applyAlignment="1">
      <alignment vertical="center"/>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0" xfId="0" applyFont="1" applyFill="1" applyAlignment="1">
      <alignment horizontal="left" vertical="center"/>
    </xf>
    <xf numFmtId="0" fontId="25" fillId="0" borderId="5" xfId="0" applyFont="1" applyFill="1" applyBorder="1" applyAlignment="1">
      <alignment vertical="top" wrapText="1"/>
    </xf>
    <xf numFmtId="3" fontId="25" fillId="0" borderId="5" xfId="0" applyNumberFormat="1" applyFont="1" applyFill="1" applyBorder="1" applyAlignment="1">
      <alignment vertical="top" wrapText="1"/>
    </xf>
    <xf numFmtId="3" fontId="25" fillId="0" borderId="5" xfId="0" applyNumberFormat="1" applyFont="1" applyFill="1" applyBorder="1" applyAlignment="1">
      <alignment horizontal="right" vertical="top" wrapText="1"/>
    </xf>
    <xf numFmtId="0" fontId="25" fillId="0" borderId="0" xfId="0" applyFont="1" applyFill="1" applyBorder="1" applyAlignment="1">
      <alignment vertical="top" wrapText="1"/>
    </xf>
    <xf numFmtId="3" fontId="25" fillId="0" borderId="0" xfId="0" applyNumberFormat="1" applyFont="1" applyFill="1" applyBorder="1" applyAlignment="1">
      <alignment vertical="top" wrapText="1"/>
    </xf>
    <xf numFmtId="3" fontId="25" fillId="0" borderId="0" xfId="0" applyNumberFormat="1" applyFont="1" applyFill="1" applyBorder="1" applyAlignment="1">
      <alignment horizontal="right" vertical="top" wrapText="1"/>
    </xf>
    <xf numFmtId="0" fontId="0" fillId="0" borderId="0" xfId="0" applyFill="1" applyAlignment="1">
      <alignment horizontal="center"/>
    </xf>
    <xf numFmtId="0" fontId="47" fillId="0" borderId="0" xfId="0" applyFont="1" applyFill="1" applyAlignment="1">
      <alignment vertical="center"/>
    </xf>
    <xf numFmtId="1" fontId="20" fillId="0" borderId="3" xfId="0" applyNumberFormat="1" applyFont="1" applyFill="1" applyBorder="1" applyAlignment="1">
      <alignment horizontal="center" vertical="center" wrapText="1"/>
    </xf>
    <xf numFmtId="0" fontId="47" fillId="0" borderId="4" xfId="0" applyFont="1" applyFill="1" applyBorder="1" applyAlignment="1">
      <alignment vertical="center"/>
    </xf>
    <xf numFmtId="0" fontId="11" fillId="0" borderId="5" xfId="0" applyFont="1" applyBorder="1" applyAlignment="1">
      <alignment wrapText="1"/>
    </xf>
    <xf numFmtId="3" fontId="11" fillId="0" borderId="5" xfId="0" applyNumberFormat="1" applyFont="1" applyBorder="1" applyAlignment="1">
      <alignment horizontal="center" wrapText="1"/>
    </xf>
    <xf numFmtId="0" fontId="11" fillId="0" borderId="0" xfId="0" applyFont="1" applyBorder="1" applyAlignment="1">
      <alignment wrapText="1"/>
    </xf>
    <xf numFmtId="3" fontId="11" fillId="0" borderId="0" xfId="0" applyNumberFormat="1" applyFont="1" applyBorder="1" applyAlignment="1">
      <alignment horizontal="center" wrapText="1"/>
    </xf>
    <xf numFmtId="0" fontId="47" fillId="0" borderId="0" xfId="0" applyFont="1" applyBorder="1"/>
    <xf numFmtId="3" fontId="11" fillId="0" borderId="4" xfId="0" applyNumberFormat="1" applyFont="1" applyFill="1" applyBorder="1" applyAlignment="1">
      <alignment horizontal="right"/>
    </xf>
    <xf numFmtId="0" fontId="25" fillId="0" borderId="14" xfId="0" applyFont="1" applyBorder="1" applyAlignment="1">
      <alignment horizontal="center" vertical="center"/>
    </xf>
    <xf numFmtId="0" fontId="25" fillId="0" borderId="14" xfId="0" applyFont="1" applyBorder="1"/>
    <xf numFmtId="0" fontId="25" fillId="0" borderId="3" xfId="0" applyFont="1" applyFill="1" applyBorder="1" applyAlignment="1">
      <alignment horizontal="justify" vertical="center" wrapText="1"/>
    </xf>
    <xf numFmtId="0" fontId="25" fillId="0" borderId="3" xfId="0" applyFont="1" applyFill="1" applyBorder="1" applyAlignment="1">
      <alignment horizontal="justify" vertical="center"/>
    </xf>
    <xf numFmtId="3" fontId="24" fillId="0" borderId="3" xfId="0" applyNumberFormat="1" applyFont="1" applyFill="1" applyBorder="1" applyAlignment="1">
      <alignment horizontal="right" vertical="center" wrapText="1"/>
    </xf>
    <xf numFmtId="1" fontId="25" fillId="0" borderId="3" xfId="0" applyNumberFormat="1" applyFont="1" applyFill="1" applyBorder="1" applyAlignment="1">
      <alignment horizontal="center" vertical="center" wrapText="1"/>
    </xf>
    <xf numFmtId="1" fontId="24" fillId="0" borderId="3" xfId="0" applyNumberFormat="1" applyFont="1" applyFill="1" applyBorder="1" applyAlignment="1">
      <alignment horizontal="center" vertical="center" wrapText="1"/>
    </xf>
    <xf numFmtId="1" fontId="24" fillId="0" borderId="6" xfId="0" applyNumberFormat="1" applyFont="1" applyFill="1" applyBorder="1" applyAlignment="1">
      <alignment horizontal="center" vertical="center" wrapText="1"/>
    </xf>
    <xf numFmtId="1" fontId="43" fillId="0" borderId="0" xfId="0" applyNumberFormat="1" applyFont="1" applyFill="1" applyBorder="1"/>
    <xf numFmtId="0" fontId="43" fillId="0" borderId="0" xfId="0" applyFont="1" applyFill="1" applyBorder="1" applyAlignment="1">
      <alignment horizontal="center"/>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3" xfId="0" applyFont="1" applyFill="1" applyBorder="1" applyAlignment="1">
      <alignment vertical="center" wrapText="1"/>
    </xf>
    <xf numFmtId="0" fontId="25" fillId="0" borderId="0" xfId="0" applyFont="1" applyFill="1" applyBorder="1" applyAlignment="1">
      <alignment horizontal="center" vertical="center"/>
    </xf>
    <xf numFmtId="0" fontId="20"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3" xfId="0" applyFont="1" applyFill="1" applyBorder="1" applyAlignment="1">
      <alignment vertical="center" wrapText="1"/>
    </xf>
    <xf numFmtId="3" fontId="18" fillId="0" borderId="3" xfId="0" applyNumberFormat="1" applyFont="1" applyFill="1" applyBorder="1" applyAlignment="1">
      <alignment horizontal="center" vertical="center"/>
    </xf>
    <xf numFmtId="1" fontId="18" fillId="0" borderId="3" xfId="0" applyNumberFormat="1" applyFont="1" applyFill="1" applyBorder="1" applyAlignment="1">
      <alignment horizontal="center" vertical="center" wrapText="1"/>
    </xf>
    <xf numFmtId="0" fontId="49" fillId="0" borderId="3" xfId="0" applyFont="1" applyFill="1" applyBorder="1" applyAlignment="1">
      <alignment vertical="center" wrapText="1"/>
    </xf>
    <xf numFmtId="0" fontId="18" fillId="0" borderId="3" xfId="0" applyFont="1" applyFill="1" applyBorder="1" applyAlignment="1">
      <alignment vertical="center"/>
    </xf>
    <xf numFmtId="0" fontId="15" fillId="0" borderId="3" xfId="0" applyFont="1" applyFill="1" applyBorder="1" applyAlignment="1">
      <alignment horizontal="justify" vertical="center" wrapText="1"/>
    </xf>
    <xf numFmtId="1" fontId="18" fillId="0" borderId="3" xfId="0" applyNumberFormat="1" applyFont="1" applyFill="1" applyBorder="1" applyAlignment="1">
      <alignment horizontal="center" vertical="center"/>
    </xf>
    <xf numFmtId="0" fontId="15" fillId="0" borderId="3" xfId="0" applyFont="1" applyFill="1" applyBorder="1" applyAlignment="1">
      <alignment vertical="center"/>
    </xf>
    <xf numFmtId="0" fontId="13" fillId="0" borderId="5" xfId="0" applyFont="1" applyFill="1" applyBorder="1" applyAlignment="1">
      <alignment vertical="center"/>
    </xf>
    <xf numFmtId="0" fontId="13" fillId="0" borderId="4" xfId="0" applyFont="1" applyFill="1" applyBorder="1" applyAlignment="1">
      <alignment vertical="center"/>
    </xf>
    <xf numFmtId="3" fontId="5" fillId="0" borderId="6"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25" fillId="0" borderId="0" xfId="0" applyFont="1" applyFill="1" applyBorder="1"/>
    <xf numFmtId="3" fontId="25" fillId="0" borderId="0" xfId="0" applyNumberFormat="1" applyFont="1" applyFill="1" applyBorder="1"/>
    <xf numFmtId="0" fontId="25" fillId="0" borderId="0" xfId="0" applyFont="1" applyAlignment="1">
      <alignment horizontal="center"/>
    </xf>
    <xf numFmtId="0" fontId="25" fillId="0" borderId="0"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Alignment="1">
      <alignment horizontal="center"/>
    </xf>
    <xf numFmtId="3" fontId="7" fillId="0" borderId="3" xfId="0" applyNumberFormat="1" applyFont="1" applyBorder="1"/>
    <xf numFmtId="0" fontId="20" fillId="0" borderId="0" xfId="0" applyFont="1"/>
    <xf numFmtId="0" fontId="20" fillId="0" borderId="0" xfId="0" applyFont="1" applyAlignment="1">
      <alignment horizontal="center"/>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20" fillId="0" borderId="4" xfId="0" applyFont="1" applyFill="1" applyBorder="1" applyAlignment="1">
      <alignment horizontal="center" vertical="center"/>
    </xf>
    <xf numFmtId="0" fontId="11" fillId="0" borderId="3" xfId="0" applyFont="1" applyFill="1" applyBorder="1" applyAlignment="1">
      <alignment horizontal="center" wrapText="1"/>
    </xf>
    <xf numFmtId="3" fontId="24" fillId="0" borderId="3"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0" fontId="24" fillId="0" borderId="1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 xfId="0" applyFont="1" applyFill="1" applyBorder="1" applyAlignment="1">
      <alignment vertical="center" wrapText="1"/>
    </xf>
    <xf numFmtId="0" fontId="24" fillId="0" borderId="3" xfId="0" applyFont="1" applyFill="1" applyBorder="1" applyAlignment="1">
      <alignment horizontal="center" vertical="center" wrapText="1"/>
    </xf>
    <xf numFmtId="0" fontId="24" fillId="0" borderId="3" xfId="0" applyFont="1" applyFill="1" applyBorder="1" applyAlignment="1">
      <alignment horizontal="center" vertical="center" textRotation="90" wrapText="1"/>
    </xf>
    <xf numFmtId="0" fontId="15" fillId="0" borderId="3" xfId="0" applyFont="1" applyFill="1" applyBorder="1" applyAlignment="1">
      <alignment horizontal="center" vertical="center" wrapText="1"/>
    </xf>
    <xf numFmtId="0" fontId="25" fillId="0" borderId="0" xfId="0" applyFont="1" applyFill="1" applyBorder="1" applyAlignment="1">
      <alignment horizontal="center" vertical="center"/>
    </xf>
    <xf numFmtId="0" fontId="20" fillId="0" borderId="3" xfId="0" applyFont="1" applyFill="1" applyBorder="1" applyAlignment="1">
      <alignment horizontal="center" vertical="center" wrapText="1"/>
    </xf>
    <xf numFmtId="3" fontId="24" fillId="0" borderId="3"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xf>
    <xf numFmtId="0" fontId="7" fillId="0" borderId="3" xfId="0" applyFont="1" applyBorder="1" applyAlignment="1">
      <alignment horizontal="center" vertical="center" wrapText="1"/>
    </xf>
    <xf numFmtId="0" fontId="24" fillId="0" borderId="3" xfId="0" applyFont="1" applyFill="1" applyBorder="1" applyAlignment="1">
      <alignment horizontal="center" vertical="center"/>
    </xf>
    <xf numFmtId="0" fontId="25" fillId="0" borderId="0" xfId="0" applyFont="1" applyFill="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3" fontId="8" fillId="0" borderId="3" xfId="0" applyNumberFormat="1" applyFont="1" applyFill="1" applyBorder="1" applyAlignment="1">
      <alignment horizontal="center" vertical="center"/>
    </xf>
    <xf numFmtId="0" fontId="43" fillId="0" borderId="0" xfId="0" applyFont="1"/>
    <xf numFmtId="0" fontId="10" fillId="0" borderId="3" xfId="0" applyFont="1" applyFill="1" applyBorder="1" applyAlignment="1">
      <alignment horizontal="center" vertical="center" wrapText="1"/>
    </xf>
    <xf numFmtId="0" fontId="10" fillId="0" borderId="3" xfId="0" applyFont="1" applyFill="1" applyBorder="1" applyAlignment="1">
      <alignment horizontal="justify" vertical="center" wrapText="1"/>
    </xf>
    <xf numFmtId="3" fontId="10" fillId="0" borderId="3" xfId="1" applyNumberFormat="1" applyFont="1" applyFill="1" applyBorder="1" applyAlignment="1">
      <alignment horizontal="right" vertical="center" wrapText="1"/>
    </xf>
    <xf numFmtId="3" fontId="12" fillId="0" borderId="3" xfId="1" applyNumberFormat="1" applyFont="1" applyFill="1" applyBorder="1" applyAlignment="1">
      <alignment horizontal="right" vertical="center" wrapText="1"/>
    </xf>
    <xf numFmtId="0" fontId="24" fillId="0" borderId="3"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3"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3" xfId="0" applyFont="1" applyFill="1" applyBorder="1" applyAlignment="1">
      <alignment horizontal="justify" vertical="center" wrapText="1"/>
    </xf>
    <xf numFmtId="3" fontId="51" fillId="0" borderId="3" xfId="0" applyNumberFormat="1" applyFont="1" applyFill="1" applyBorder="1" applyAlignment="1">
      <alignment horizontal="right" vertical="center" wrapText="1"/>
    </xf>
    <xf numFmtId="6" fontId="52" fillId="0" borderId="3" xfId="0" applyNumberFormat="1" applyFont="1" applyFill="1" applyBorder="1" applyAlignment="1">
      <alignment horizontal="right" vertical="center" wrapText="1"/>
    </xf>
    <xf numFmtId="0" fontId="25" fillId="0" borderId="10" xfId="0" applyFont="1" applyFill="1" applyBorder="1" applyAlignment="1">
      <alignment vertical="center"/>
    </xf>
    <xf numFmtId="3" fontId="25" fillId="0" borderId="10" xfId="0" applyNumberFormat="1" applyFont="1" applyFill="1" applyBorder="1" applyAlignment="1">
      <alignment vertical="center"/>
    </xf>
    <xf numFmtId="0" fontId="29" fillId="0" borderId="0" xfId="0" applyFont="1"/>
    <xf numFmtId="0" fontId="29" fillId="0" borderId="0" xfId="0" applyFont="1" applyAlignment="1">
      <alignment horizontal="center"/>
    </xf>
    <xf numFmtId="0" fontId="29" fillId="0" borderId="0" xfId="0" applyFont="1" applyFill="1" applyBorder="1" applyAlignment="1">
      <alignment horizontal="center" vertical="center"/>
    </xf>
    <xf numFmtId="0" fontId="29" fillId="0" borderId="0" xfId="0" applyFont="1" applyFill="1" applyBorder="1"/>
    <xf numFmtId="169" fontId="7" fillId="0" borderId="3" xfId="0" applyNumberFormat="1" applyFont="1" applyBorder="1" applyAlignment="1">
      <alignment horizontal="center" vertical="center" wrapText="1"/>
    </xf>
    <xf numFmtId="0" fontId="5" fillId="5" borderId="3" xfId="0" applyFont="1" applyFill="1" applyBorder="1" applyAlignment="1">
      <alignment vertical="center"/>
    </xf>
    <xf numFmtId="169" fontId="5" fillId="0" borderId="3" xfId="1" applyNumberFormat="1" applyFont="1" applyBorder="1" applyAlignment="1">
      <alignment vertical="center"/>
    </xf>
    <xf numFmtId="169" fontId="5" fillId="0" borderId="3" xfId="0" applyNumberFormat="1" applyFont="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169" fontId="7" fillId="0" borderId="3" xfId="0" applyNumberFormat="1" applyFont="1" applyBorder="1" applyAlignment="1">
      <alignment vertical="center"/>
    </xf>
    <xf numFmtId="0" fontId="31" fillId="0" borderId="3" xfId="0" applyFont="1" applyFill="1" applyBorder="1" applyAlignment="1">
      <alignment horizontal="center" vertical="center" wrapText="1"/>
    </xf>
    <xf numFmtId="0" fontId="31" fillId="0" borderId="3" xfId="0" applyFont="1" applyFill="1" applyBorder="1" applyAlignment="1">
      <alignment horizontal="justify" vertical="center" wrapText="1"/>
    </xf>
    <xf numFmtId="3" fontId="31" fillId="0" borderId="3" xfId="0" applyNumberFormat="1" applyFont="1" applyFill="1" applyBorder="1" applyAlignment="1">
      <alignment horizontal="right" vertical="center" wrapText="1"/>
    </xf>
    <xf numFmtId="0" fontId="24" fillId="0" borderId="4"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0" xfId="0" applyFont="1" applyFill="1" applyBorder="1" applyAlignment="1">
      <alignment horizontal="center" vertical="center"/>
    </xf>
    <xf numFmtId="0" fontId="7" fillId="0" borderId="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0" xfId="0" applyAlignment="1">
      <alignment vertical="center" wrapText="1"/>
    </xf>
    <xf numFmtId="0" fontId="53" fillId="0" borderId="0" xfId="0" applyFont="1" applyAlignment="1">
      <alignment horizontal="center" vertical="center" wrapText="1"/>
    </xf>
    <xf numFmtId="0" fontId="53" fillId="0" borderId="0" xfId="0" applyFont="1" applyAlignment="1">
      <alignment horizontal="center" vertical="center" wrapText="1"/>
    </xf>
    <xf numFmtId="0" fontId="0" fillId="0" borderId="0" xfId="0" applyAlignment="1">
      <alignment vertical="center" wrapText="1"/>
    </xf>
    <xf numFmtId="0" fontId="0" fillId="0" borderId="0" xfId="0"/>
    <xf numFmtId="0" fontId="55" fillId="0" borderId="0" xfId="0" applyFont="1" applyAlignment="1">
      <alignment horizontal="center" vertical="center" wrapText="1"/>
    </xf>
    <xf numFmtId="0" fontId="3" fillId="0" borderId="0" xfId="0" applyFont="1" applyFill="1" applyBorder="1" applyAlignment="1">
      <alignment vertical="center"/>
    </xf>
    <xf numFmtId="0" fontId="0" fillId="0" borderId="0" xfId="0" applyFill="1" applyBorder="1" applyAlignment="1">
      <alignment vertical="center" wrapText="1"/>
    </xf>
    <xf numFmtId="0" fontId="5" fillId="0" borderId="0" xfId="0" applyFont="1" applyFill="1" applyAlignment="1">
      <alignment horizontal="center" vertical="center"/>
    </xf>
    <xf numFmtId="0" fontId="56" fillId="0" borderId="3" xfId="0" applyFont="1" applyFill="1" applyBorder="1" applyAlignment="1">
      <alignment horizontal="center" vertical="center" wrapText="1"/>
    </xf>
    <xf numFmtId="6" fontId="3" fillId="0" borderId="3" xfId="0" applyNumberFormat="1" applyFont="1" applyFill="1" applyBorder="1" applyAlignment="1">
      <alignment horizontal="center" vertical="center" wrapText="1"/>
    </xf>
    <xf numFmtId="167" fontId="12" fillId="0" borderId="3" xfId="0" applyNumberFormat="1" applyFont="1" applyFill="1" applyBorder="1" applyAlignment="1">
      <alignment horizontal="center" vertical="center" wrapText="1"/>
    </xf>
    <xf numFmtId="0" fontId="12" fillId="0" borderId="3" xfId="0" applyFont="1" applyFill="1" applyBorder="1" applyAlignment="1">
      <alignment horizontal="justify" vertical="center" wrapText="1"/>
    </xf>
    <xf numFmtId="3" fontId="10" fillId="0" borderId="3" xfId="0" applyNumberFormat="1" applyFont="1" applyFill="1" applyBorder="1" applyAlignment="1">
      <alignment vertical="center" wrapText="1"/>
    </xf>
    <xf numFmtId="3" fontId="12" fillId="0" borderId="3" xfId="0" applyNumberFormat="1" applyFont="1" applyFill="1" applyBorder="1" applyAlignment="1">
      <alignment vertical="center" wrapText="1"/>
    </xf>
    <xf numFmtId="0" fontId="10" fillId="0" borderId="3" xfId="0" applyFont="1" applyFill="1" applyBorder="1" applyAlignment="1">
      <alignment horizontal="left" vertical="center" wrapText="1"/>
    </xf>
    <xf numFmtId="3" fontId="10" fillId="0" borderId="3" xfId="0" applyNumberFormat="1" applyFont="1" applyFill="1" applyBorder="1" applyAlignment="1">
      <alignment horizontal="right" vertical="center"/>
    </xf>
    <xf numFmtId="0" fontId="12" fillId="0" borderId="3" xfId="0" applyFont="1" applyFill="1" applyBorder="1" applyAlignment="1">
      <alignment horizontal="left" vertical="center" wrapText="1"/>
    </xf>
    <xf numFmtId="3" fontId="12" fillId="0" borderId="3" xfId="0" applyNumberFormat="1" applyFont="1" applyFill="1" applyBorder="1" applyAlignment="1">
      <alignment horizontal="right" vertical="center"/>
    </xf>
    <xf numFmtId="0" fontId="10" fillId="0" borderId="3" xfId="0" applyFont="1" applyFill="1" applyBorder="1" applyAlignment="1">
      <alignment vertical="center" wrapText="1"/>
    </xf>
    <xf numFmtId="0" fontId="12" fillId="0" borderId="3" xfId="0" applyFont="1" applyFill="1" applyBorder="1" applyAlignment="1">
      <alignment vertical="center" wrapText="1"/>
    </xf>
    <xf numFmtId="0" fontId="58" fillId="0" borderId="5" xfId="0" applyFont="1" applyFill="1" applyBorder="1" applyAlignment="1">
      <alignment horizontal="center" vertical="center" wrapText="1"/>
    </xf>
    <xf numFmtId="0" fontId="12" fillId="0" borderId="5" xfId="0" applyFont="1" applyFill="1" applyBorder="1" applyAlignment="1">
      <alignment vertical="center" wrapText="1"/>
    </xf>
    <xf numFmtId="3" fontId="12" fillId="0" borderId="5" xfId="0" applyNumberFormat="1" applyFont="1" applyFill="1" applyBorder="1" applyAlignment="1">
      <alignment horizontal="right" vertical="center"/>
    </xf>
    <xf numFmtId="3" fontId="12" fillId="0" borderId="5" xfId="0" applyNumberFormat="1" applyFont="1" applyFill="1" applyBorder="1" applyAlignment="1">
      <alignment horizontal="center" vertical="center" wrapText="1"/>
    </xf>
    <xf numFmtId="3" fontId="10" fillId="0" borderId="19" xfId="0" applyNumberFormat="1" applyFont="1" applyFill="1" applyBorder="1" applyAlignment="1">
      <alignment horizontal="right" vertical="center"/>
    </xf>
    <xf numFmtId="0" fontId="12" fillId="6" borderId="3" xfId="0" applyFont="1" applyFill="1" applyBorder="1" applyAlignment="1">
      <alignment horizontal="justify" vertical="center" wrapText="1"/>
    </xf>
    <xf numFmtId="0" fontId="10" fillId="6" borderId="3" xfId="0" applyFont="1" applyFill="1" applyBorder="1" applyAlignment="1">
      <alignment vertical="center"/>
    </xf>
    <xf numFmtId="0" fontId="58" fillId="0" borderId="3" xfId="0" applyFont="1" applyFill="1" applyBorder="1" applyAlignment="1">
      <alignment vertical="center" wrapText="1"/>
    </xf>
    <xf numFmtId="3" fontId="10" fillId="0" borderId="3" xfId="0" applyNumberFormat="1" applyFont="1" applyFill="1" applyBorder="1" applyAlignment="1">
      <alignment vertical="center"/>
    </xf>
    <xf numFmtId="3" fontId="12" fillId="0" borderId="3" xfId="0" applyNumberFormat="1" applyFont="1" applyFill="1" applyBorder="1" applyAlignment="1">
      <alignment vertical="center"/>
    </xf>
    <xf numFmtId="0" fontId="22" fillId="6" borderId="3" xfId="0" applyFont="1" applyFill="1" applyBorder="1" applyAlignment="1">
      <alignment vertical="center"/>
    </xf>
    <xf numFmtId="3" fontId="22" fillId="6" borderId="3" xfId="0" applyNumberFormat="1" applyFont="1" applyFill="1" applyBorder="1" applyAlignment="1">
      <alignment vertical="center"/>
    </xf>
    <xf numFmtId="3" fontId="10" fillId="6" borderId="3" xfId="0" applyNumberFormat="1" applyFont="1" applyFill="1" applyBorder="1" applyAlignment="1">
      <alignment vertical="center"/>
    </xf>
    <xf numFmtId="0" fontId="12" fillId="6" borderId="3" xfId="0" applyFont="1" applyFill="1" applyBorder="1" applyAlignment="1">
      <alignment vertical="center" wrapText="1"/>
    </xf>
    <xf numFmtId="0" fontId="12" fillId="0" borderId="5" xfId="0" applyFont="1" applyFill="1" applyBorder="1" applyAlignment="1">
      <alignment horizontal="justify" vertical="center" wrapText="1"/>
    </xf>
    <xf numFmtId="3" fontId="12" fillId="0" borderId="5" xfId="0" applyNumberFormat="1" applyFont="1" applyFill="1" applyBorder="1" applyAlignment="1">
      <alignment vertical="center"/>
    </xf>
    <xf numFmtId="0" fontId="10" fillId="0" borderId="19" xfId="0" applyFont="1" applyFill="1" applyBorder="1" applyAlignment="1">
      <alignment vertical="center" wrapText="1"/>
    </xf>
    <xf numFmtId="3" fontId="10" fillId="0" borderId="19" xfId="0" applyNumberFormat="1" applyFont="1" applyFill="1" applyBorder="1" applyAlignment="1">
      <alignment vertical="center"/>
    </xf>
    <xf numFmtId="0" fontId="12" fillId="0" borderId="3" xfId="0" applyFont="1" applyFill="1" applyBorder="1" applyAlignment="1">
      <alignment vertical="center"/>
    </xf>
    <xf numFmtId="0" fontId="10" fillId="0" borderId="3" xfId="0" applyFont="1" applyBorder="1" applyAlignment="1">
      <alignment horizontal="center" vertical="center" wrapText="1"/>
    </xf>
    <xf numFmtId="0" fontId="10" fillId="0" borderId="3" xfId="0" applyFont="1" applyBorder="1" applyAlignment="1">
      <alignment horizontal="justify" vertical="center" wrapText="1"/>
    </xf>
    <xf numFmtId="3" fontId="10" fillId="0" borderId="3" xfId="0" applyNumberFormat="1" applyFont="1" applyBorder="1" applyAlignment="1">
      <alignment horizontal="right" vertical="center" wrapText="1"/>
    </xf>
    <xf numFmtId="3" fontId="10" fillId="3" borderId="3" xfId="0" applyNumberFormat="1" applyFont="1" applyFill="1" applyBorder="1" applyAlignment="1">
      <alignment horizontal="right" vertical="center" wrapText="1"/>
    </xf>
    <xf numFmtId="0" fontId="10" fillId="0" borderId="3" xfId="0" applyFont="1" applyBorder="1" applyAlignment="1">
      <alignment vertical="center" wrapText="1"/>
    </xf>
    <xf numFmtId="3" fontId="10" fillId="0" borderId="3" xfId="0" applyNumberFormat="1" applyFont="1" applyBorder="1" applyAlignment="1">
      <alignment horizontal="right" vertical="center"/>
    </xf>
    <xf numFmtId="6" fontId="12" fillId="0" borderId="3" xfId="0" applyNumberFormat="1" applyFont="1" applyFill="1" applyBorder="1" applyAlignment="1">
      <alignment horizontal="right" vertical="center" wrapText="1"/>
    </xf>
    <xf numFmtId="0" fontId="25" fillId="0" borderId="0" xfId="0" applyFont="1" applyFill="1" applyBorder="1" applyAlignment="1">
      <alignment horizontal="center" vertical="center"/>
    </xf>
    <xf numFmtId="3" fontId="24" fillId="0" borderId="3" xfId="0" applyNumberFormat="1" applyFont="1" applyFill="1" applyBorder="1" applyAlignment="1">
      <alignment horizontal="center" vertical="center" wrapText="1"/>
    </xf>
    <xf numFmtId="0" fontId="0" fillId="0" borderId="0" xfId="0" applyAlignment="1">
      <alignment wrapText="1"/>
    </xf>
    <xf numFmtId="0" fontId="53" fillId="0" borderId="0" xfId="0" applyFont="1" applyAlignment="1">
      <alignment horizontal="center" vertical="center"/>
    </xf>
    <xf numFmtId="0" fontId="53" fillId="0" borderId="0" xfId="0" applyFont="1" applyAlignment="1">
      <alignment horizontal="center" vertical="center" wrapText="1"/>
    </xf>
    <xf numFmtId="0" fontId="54" fillId="0" borderId="0" xfId="0" applyFont="1" applyAlignment="1">
      <alignment horizontal="center" vertical="center" wrapText="1"/>
    </xf>
    <xf numFmtId="0" fontId="55" fillId="0" borderId="0" xfId="0" applyFont="1" applyAlignment="1">
      <alignment horizontal="center" vertical="center"/>
    </xf>
    <xf numFmtId="0" fontId="0" fillId="0" borderId="0" xfId="0" applyAlignment="1">
      <alignment vertical="center" wrapText="1"/>
    </xf>
    <xf numFmtId="0" fontId="0" fillId="0" borderId="0" xfId="0"/>
    <xf numFmtId="0" fontId="55" fillId="0" borderId="0" xfId="0" applyFont="1" applyAlignment="1">
      <alignment horizontal="center" vertical="center" wrapText="1"/>
    </xf>
    <xf numFmtId="0" fontId="3" fillId="0" borderId="0" xfId="0" applyFont="1" applyFill="1" applyBorder="1" applyAlignment="1">
      <alignment horizontal="center" vertical="center"/>
    </xf>
    <xf numFmtId="0" fontId="7" fillId="0" borderId="3" xfId="0" applyFont="1" applyFill="1" applyBorder="1" applyAlignment="1">
      <alignment horizontal="center" vertical="center" wrapText="1"/>
    </xf>
    <xf numFmtId="0" fontId="57" fillId="0" borderId="14" xfId="0" applyFont="1" applyFill="1" applyBorder="1" applyAlignment="1">
      <alignment horizontal="center" vertical="center"/>
    </xf>
    <xf numFmtId="0" fontId="57" fillId="0" borderId="9" xfId="0" applyFont="1" applyFill="1" applyBorder="1" applyAlignment="1">
      <alignment horizontal="center" vertical="center"/>
    </xf>
    <xf numFmtId="0" fontId="57" fillId="0" borderId="5" xfId="0" applyFont="1" applyFill="1" applyBorder="1" applyAlignment="1">
      <alignment horizontal="center" vertical="center"/>
    </xf>
    <xf numFmtId="0" fontId="57" fillId="0" borderId="4" xfId="0" applyFont="1" applyFill="1" applyBorder="1" applyAlignment="1">
      <alignment horizontal="center" vertical="center"/>
    </xf>
    <xf numFmtId="0" fontId="57" fillId="0" borderId="13" xfId="0" applyFont="1" applyFill="1" applyBorder="1" applyAlignment="1">
      <alignment horizontal="center" vertical="center"/>
    </xf>
    <xf numFmtId="0" fontId="57" fillId="0" borderId="15" xfId="0" applyFont="1" applyFill="1" applyBorder="1" applyAlignment="1">
      <alignment horizontal="center" vertical="center"/>
    </xf>
    <xf numFmtId="0" fontId="58" fillId="0" borderId="10"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58" fillId="0" borderId="16" xfId="0" applyFont="1" applyFill="1" applyBorder="1" applyAlignment="1">
      <alignment horizontal="center" vertical="center" wrapText="1"/>
    </xf>
    <xf numFmtId="3" fontId="12" fillId="0" borderId="10" xfId="0" applyNumberFormat="1" applyFont="1" applyFill="1" applyBorder="1" applyAlignment="1">
      <alignment horizontal="center" vertical="center" wrapText="1"/>
    </xf>
    <xf numFmtId="3" fontId="12" fillId="0" borderId="19" xfId="0" applyNumberFormat="1" applyFont="1" applyFill="1" applyBorder="1" applyAlignment="1">
      <alignment horizontal="center" vertical="center" wrapText="1"/>
    </xf>
    <xf numFmtId="3" fontId="12" fillId="0" borderId="1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0" xfId="0" applyFont="1" applyBorder="1" applyAlignment="1">
      <alignment horizontal="center" vertical="center"/>
    </xf>
    <xf numFmtId="0" fontId="12" fillId="0" borderId="14" xfId="0" applyFont="1" applyBorder="1" applyAlignment="1">
      <alignment horizontal="center" vertical="center"/>
    </xf>
    <xf numFmtId="0" fontId="11" fillId="0" borderId="3" xfId="0" applyFont="1" applyBorder="1" applyAlignment="1">
      <alignment horizontal="center"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3"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3" xfId="0" applyFont="1" applyBorder="1" applyAlignment="1">
      <alignment horizontal="center" vertical="center"/>
    </xf>
    <xf numFmtId="3" fontId="24" fillId="0" borderId="3"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0" fillId="0" borderId="0" xfId="0" applyFont="1" applyFill="1" applyBorder="1" applyAlignment="1">
      <alignment horizontal="center"/>
    </xf>
    <xf numFmtId="0" fontId="20" fillId="0" borderId="5" xfId="0" applyFont="1" applyFill="1" applyBorder="1" applyAlignment="1">
      <alignment horizontal="center"/>
    </xf>
    <xf numFmtId="0" fontId="11" fillId="0" borderId="14"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4" xfId="0" applyFont="1" applyFill="1" applyBorder="1" applyAlignment="1">
      <alignment horizontal="center" vertical="center"/>
    </xf>
    <xf numFmtId="0" fontId="11" fillId="0" borderId="3" xfId="0" applyFont="1" applyBorder="1" applyAlignment="1">
      <alignment horizontal="center"/>
    </xf>
    <xf numFmtId="0" fontId="20" fillId="0" borderId="3" xfId="0" applyFont="1" applyFill="1" applyBorder="1" applyAlignment="1">
      <alignment horizontal="center" vertical="center"/>
    </xf>
    <xf numFmtId="0" fontId="20" fillId="0" borderId="12" xfId="0" applyFont="1" applyFill="1" applyBorder="1" applyAlignment="1">
      <alignment horizontal="center" vertical="center"/>
    </xf>
    <xf numFmtId="0" fontId="24" fillId="0" borderId="3" xfId="0" applyFont="1" applyBorder="1" applyAlignment="1">
      <alignment horizontal="center"/>
    </xf>
    <xf numFmtId="0" fontId="20" fillId="0" borderId="8" xfId="0" applyFont="1" applyFill="1" applyBorder="1" applyAlignment="1">
      <alignment horizontal="center"/>
    </xf>
    <xf numFmtId="0" fontId="11" fillId="0" borderId="0" xfId="0" applyFont="1" applyFill="1" applyBorder="1" applyAlignment="1">
      <alignment horizontal="center"/>
    </xf>
    <xf numFmtId="0" fontId="11" fillId="0" borderId="3" xfId="0" applyFont="1" applyFill="1" applyBorder="1" applyAlignment="1">
      <alignment horizontal="center"/>
    </xf>
    <xf numFmtId="0" fontId="11" fillId="0" borderId="3" xfId="0" applyFont="1" applyFill="1" applyBorder="1" applyAlignment="1">
      <alignment horizontal="center" wrapText="1"/>
    </xf>
    <xf numFmtId="3" fontId="11" fillId="0" borderId="6" xfId="0" applyNumberFormat="1" applyFont="1" applyFill="1" applyBorder="1" applyAlignment="1">
      <alignment horizontal="center"/>
    </xf>
    <xf numFmtId="3" fontId="11" fillId="0" borderId="8" xfId="0" applyNumberFormat="1" applyFont="1" applyFill="1" applyBorder="1" applyAlignment="1">
      <alignment horizontal="center"/>
    </xf>
    <xf numFmtId="3" fontId="24" fillId="0" borderId="3" xfId="0" applyNumberFormat="1" applyFont="1" applyFill="1" applyBorder="1" applyAlignment="1">
      <alignment horizontal="center" vertical="center"/>
    </xf>
    <xf numFmtId="3" fontId="46" fillId="0" borderId="6" xfId="0" applyNumberFormat="1" applyFont="1" applyFill="1" applyBorder="1" applyAlignment="1">
      <alignment horizontal="center" vertical="center"/>
    </xf>
    <xf numFmtId="3" fontId="46" fillId="0" borderId="7" xfId="0" applyNumberFormat="1" applyFont="1" applyFill="1" applyBorder="1" applyAlignment="1">
      <alignment horizontal="center" vertical="center"/>
    </xf>
    <xf numFmtId="3" fontId="46" fillId="0" borderId="8" xfId="0" applyNumberFormat="1" applyFont="1" applyFill="1" applyBorder="1" applyAlignment="1">
      <alignment horizontal="center" vertical="center"/>
    </xf>
    <xf numFmtId="3" fontId="11" fillId="0" borderId="3" xfId="0" applyNumberFormat="1" applyFont="1" applyFill="1" applyBorder="1" applyAlignment="1">
      <alignment horizontal="center" vertical="center"/>
    </xf>
    <xf numFmtId="3" fontId="47" fillId="0" borderId="0" xfId="0" applyNumberFormat="1" applyFont="1" applyFill="1" applyBorder="1"/>
    <xf numFmtId="0" fontId="20" fillId="0" borderId="10" xfId="0" applyFont="1" applyFill="1" applyBorder="1" applyAlignment="1">
      <alignment horizontal="center" vertical="center"/>
    </xf>
    <xf numFmtId="3" fontId="11"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46" fillId="0" borderId="3" xfId="0" applyFont="1" applyFill="1" applyBorder="1" applyAlignment="1">
      <alignment horizontal="center" vertical="center"/>
    </xf>
    <xf numFmtId="0" fontId="24" fillId="0" borderId="14" xfId="0" applyFont="1" applyFill="1" applyBorder="1" applyAlignment="1">
      <alignment horizontal="center" vertical="center"/>
    </xf>
    <xf numFmtId="0" fontId="11" fillId="0" borderId="10" xfId="0" applyFont="1" applyFill="1" applyBorder="1" applyAlignment="1">
      <alignment horizontal="center" vertical="center" textRotation="90" wrapText="1"/>
    </xf>
    <xf numFmtId="0" fontId="11" fillId="0" borderId="16" xfId="0" applyFont="1" applyFill="1" applyBorder="1" applyAlignment="1">
      <alignment horizontal="center" vertical="center" textRotation="90" wrapText="1"/>
    </xf>
    <xf numFmtId="0" fontId="11" fillId="0" borderId="7" xfId="0" applyFont="1" applyFill="1" applyBorder="1" applyAlignment="1">
      <alignment horizontal="center" vertical="center" wrapText="1"/>
    </xf>
    <xf numFmtId="0" fontId="11" fillId="3" borderId="3" xfId="0" applyFont="1" applyFill="1" applyBorder="1" applyAlignment="1">
      <alignment horizontal="center" vertical="center"/>
    </xf>
    <xf numFmtId="0" fontId="20" fillId="3" borderId="0" xfId="0" applyFont="1" applyFill="1" applyBorder="1" applyAlignment="1">
      <alignment horizontal="left" vertical="center"/>
    </xf>
    <xf numFmtId="0" fontId="20" fillId="3" borderId="5" xfId="0" applyFont="1" applyFill="1" applyBorder="1" applyAlignment="1">
      <alignment horizontal="center" vertical="center"/>
    </xf>
    <xf numFmtId="0" fontId="20" fillId="3" borderId="4" xfId="0" applyFont="1" applyFill="1" applyBorder="1" applyAlignment="1">
      <alignment horizontal="center" vertical="center"/>
    </xf>
    <xf numFmtId="0" fontId="24" fillId="0" borderId="14" xfId="0" applyFont="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9" xfId="0" applyFont="1" applyFill="1" applyBorder="1" applyAlignment="1">
      <alignment horizontal="center" vertical="center"/>
    </xf>
    <xf numFmtId="0" fontId="11" fillId="3" borderId="3" xfId="0" applyFont="1" applyFill="1" applyBorder="1" applyAlignment="1">
      <alignment horizontal="center" vertical="center" textRotation="90" wrapText="1"/>
    </xf>
    <xf numFmtId="0" fontId="11" fillId="0" borderId="3" xfId="0" applyFont="1" applyFill="1" applyBorder="1" applyAlignment="1">
      <alignment horizontal="center" vertical="center" textRotation="90" wrapText="1"/>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3" xfId="0" applyFont="1" applyFill="1" applyBorder="1" applyAlignment="1">
      <alignment horizontal="center" vertical="center"/>
    </xf>
    <xf numFmtId="0" fontId="20" fillId="0" borderId="4" xfId="0" applyFont="1" applyFill="1" applyBorder="1" applyAlignment="1">
      <alignment horizontal="center"/>
    </xf>
    <xf numFmtId="0" fontId="24" fillId="0" borderId="6" xfId="0" applyFont="1" applyFill="1" applyBorder="1" applyAlignment="1">
      <alignment horizontal="center" vertical="center"/>
    </xf>
    <xf numFmtId="0" fontId="24" fillId="0" borderId="8" xfId="0" applyFont="1" applyFill="1" applyBorder="1" applyAlignment="1">
      <alignment horizontal="center" vertical="center"/>
    </xf>
    <xf numFmtId="0" fontId="25" fillId="0" borderId="9"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3" xfId="0" applyFont="1" applyFill="1" applyBorder="1" applyAlignment="1">
      <alignment horizontal="center" vertical="center"/>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7" xfId="0" applyFont="1" applyFill="1" applyBorder="1" applyAlignment="1">
      <alignment horizontal="center" vertical="center"/>
    </xf>
    <xf numFmtId="0" fontId="25" fillId="0" borderId="4"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11" fillId="0" borderId="6" xfId="0" applyFont="1" applyFill="1" applyBorder="1" applyAlignment="1">
      <alignment horizontal="center"/>
    </xf>
    <xf numFmtId="0" fontId="11" fillId="0" borderId="7" xfId="0" applyFont="1" applyFill="1" applyBorder="1" applyAlignment="1">
      <alignment horizontal="center"/>
    </xf>
    <xf numFmtId="0" fontId="11" fillId="0" borderId="8" xfId="0" applyFont="1" applyFill="1" applyBorder="1" applyAlignment="1">
      <alignment horizontal="center"/>
    </xf>
    <xf numFmtId="0" fontId="20" fillId="0" borderId="0" xfId="0" applyFont="1" applyFill="1" applyBorder="1" applyAlignment="1">
      <alignment horizontal="center" vertical="center" wrapText="1"/>
    </xf>
    <xf numFmtId="0" fontId="11" fillId="0" borderId="6" xfId="0" applyFont="1" applyFill="1" applyBorder="1" applyAlignment="1">
      <alignment horizontal="right" vertical="center"/>
    </xf>
    <xf numFmtId="0" fontId="11" fillId="0" borderId="8" xfId="0" applyFont="1" applyFill="1" applyBorder="1" applyAlignment="1">
      <alignment horizontal="right" vertical="center"/>
    </xf>
    <xf numFmtId="3" fontId="11" fillId="0" borderId="6" xfId="0"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6"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0" fontId="11" fillId="0" borderId="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Fill="1" applyAlignment="1">
      <alignment horizontal="center" vertical="center"/>
    </xf>
    <xf numFmtId="0" fontId="11" fillId="0" borderId="10" xfId="0" applyFont="1" applyFill="1" applyBorder="1" applyAlignment="1">
      <alignment horizontal="center" vertical="center"/>
    </xf>
    <xf numFmtId="0" fontId="20" fillId="0" borderId="3" xfId="0" applyFont="1" applyFill="1" applyBorder="1" applyAlignment="1">
      <alignment vertical="center" wrapText="1"/>
    </xf>
    <xf numFmtId="0" fontId="24" fillId="0" borderId="3" xfId="0" applyFont="1" applyFill="1" applyBorder="1" applyAlignment="1">
      <alignment horizontal="center" vertical="center" wrapText="1"/>
    </xf>
    <xf numFmtId="0" fontId="11" fillId="0" borderId="19" xfId="0" applyFont="1" applyFill="1" applyBorder="1" applyAlignment="1">
      <alignment horizontal="center" vertical="center" textRotation="90" wrapText="1"/>
    </xf>
    <xf numFmtId="0" fontId="24" fillId="0" borderId="3" xfId="0" applyFont="1" applyFill="1" applyBorder="1" applyAlignment="1">
      <alignment horizontal="center" vertical="center" textRotation="90"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 xfId="0" applyFont="1" applyFill="1" applyBorder="1" applyAlignment="1">
      <alignment horizontal="center" vertical="center" textRotation="90" wrapText="1"/>
    </xf>
    <xf numFmtId="0" fontId="15" fillId="0" borderId="10" xfId="0" applyFont="1" applyFill="1" applyBorder="1" applyAlignment="1">
      <alignment horizontal="center" vertical="center" textRotation="90" wrapText="1"/>
    </xf>
    <xf numFmtId="0" fontId="15" fillId="0" borderId="16" xfId="0" applyFont="1" applyFill="1" applyBorder="1" applyAlignment="1">
      <alignment horizontal="center" vertical="center" textRotation="90" wrapText="1"/>
    </xf>
    <xf numFmtId="3" fontId="11" fillId="0" borderId="0" xfId="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xf>
    <xf numFmtId="3" fontId="11" fillId="0" borderId="6" xfId="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wrapText="1"/>
    </xf>
    <xf numFmtId="3" fontId="11" fillId="0" borderId="8" xfId="0" applyNumberFormat="1" applyFont="1" applyFill="1" applyBorder="1" applyAlignment="1">
      <alignment horizontal="center" vertical="center" wrapText="1"/>
    </xf>
    <xf numFmtId="3" fontId="20" fillId="0" borderId="6" xfId="0" applyNumberFormat="1" applyFont="1" applyFill="1" applyBorder="1" applyAlignment="1">
      <alignment horizontal="center" vertical="center"/>
    </xf>
    <xf numFmtId="3" fontId="20" fillId="0" borderId="8" xfId="0" applyNumberFormat="1" applyFont="1" applyFill="1" applyBorder="1" applyAlignment="1">
      <alignment horizontal="center" vertical="center"/>
    </xf>
    <xf numFmtId="0" fontId="11" fillId="0" borderId="11" xfId="0" applyFont="1" applyFill="1" applyBorder="1" applyAlignment="1">
      <alignment horizontal="center" vertical="center"/>
    </xf>
    <xf numFmtId="0" fontId="12" fillId="0" borderId="3" xfId="0" applyFont="1" applyFill="1" applyBorder="1" applyAlignment="1">
      <alignment horizontal="center" vertical="center"/>
    </xf>
    <xf numFmtId="3" fontId="12" fillId="0" borderId="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3" fontId="18" fillId="0" borderId="6" xfId="0" applyNumberFormat="1" applyFont="1" applyFill="1" applyBorder="1" applyAlignment="1">
      <alignment horizontal="center" vertical="center"/>
    </xf>
    <xf numFmtId="3" fontId="18" fillId="0" borderId="8" xfId="0" applyNumberFormat="1" applyFont="1" applyFill="1" applyBorder="1" applyAlignment="1">
      <alignment horizontal="center" vertical="center"/>
    </xf>
    <xf numFmtId="0" fontId="12" fillId="0" borderId="14"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7" xfId="0" applyFont="1" applyFill="1" applyBorder="1" applyAlignment="1">
      <alignment horizontal="center" vertical="center" wrapText="1"/>
    </xf>
    <xf numFmtId="1" fontId="11" fillId="0" borderId="3" xfId="0" applyNumberFormat="1" applyFont="1" applyFill="1" applyBorder="1" applyAlignment="1">
      <alignment horizontal="center" vertical="center" wrapText="1"/>
    </xf>
    <xf numFmtId="1" fontId="11" fillId="0" borderId="3" xfId="0" applyNumberFormat="1" applyFont="1" applyFill="1" applyBorder="1" applyAlignment="1">
      <alignment horizontal="center" vertical="center"/>
    </xf>
    <xf numFmtId="0" fontId="47" fillId="0" borderId="5" xfId="0" applyFont="1" applyFill="1" applyBorder="1" applyAlignment="1">
      <alignment horizontal="center" vertical="center"/>
    </xf>
    <xf numFmtId="0" fontId="47" fillId="0" borderId="4" xfId="0" applyFont="1" applyFill="1" applyBorder="1" applyAlignment="1">
      <alignment horizontal="center" vertical="center"/>
    </xf>
    <xf numFmtId="0" fontId="11" fillId="0" borderId="4" xfId="0" applyFont="1" applyFill="1" applyBorder="1" applyAlignment="1">
      <alignment horizontal="center" vertical="center"/>
    </xf>
    <xf numFmtId="0" fontId="4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19" fillId="0" borderId="3" xfId="0" applyFont="1" applyFill="1" applyBorder="1" applyAlignment="1">
      <alignment horizontal="center"/>
    </xf>
    <xf numFmtId="0" fontId="17" fillId="0" borderId="3" xfId="0" applyFont="1" applyFill="1" applyBorder="1" applyAlignment="1">
      <alignment horizontal="center"/>
    </xf>
    <xf numFmtId="0" fontId="12" fillId="0" borderId="3" xfId="0" applyFont="1" applyFill="1" applyBorder="1" applyAlignment="1">
      <alignment horizontal="center"/>
    </xf>
    <xf numFmtId="0" fontId="3" fillId="0" borderId="3" xfId="0" applyFont="1" applyBorder="1" applyAlignment="1">
      <alignment horizontal="center"/>
    </xf>
    <xf numFmtId="0" fontId="6" fillId="0" borderId="3" xfId="0" applyFont="1" applyBorder="1" applyAlignment="1">
      <alignment horizontal="center"/>
    </xf>
    <xf numFmtId="0" fontId="7" fillId="0" borderId="3" xfId="0" applyFont="1" applyBorder="1" applyAlignment="1">
      <alignment horizont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9" xfId="0" applyFont="1" applyFill="1" applyBorder="1" applyAlignment="1">
      <alignment horizontal="justify" vertical="top" wrapText="1"/>
    </xf>
    <xf numFmtId="0" fontId="20" fillId="0" borderId="5" xfId="0" applyFont="1" applyFill="1" applyBorder="1" applyAlignment="1">
      <alignment horizontal="justify" vertical="top" wrapText="1"/>
    </xf>
    <xf numFmtId="0" fontId="20" fillId="0" borderId="4" xfId="0" applyFont="1" applyFill="1" applyBorder="1" applyAlignment="1">
      <alignment horizontal="justify" vertical="top" wrapText="1"/>
    </xf>
    <xf numFmtId="0" fontId="20" fillId="0" borderId="11"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20" fillId="0" borderId="12" xfId="0" applyFont="1" applyFill="1" applyBorder="1" applyAlignment="1">
      <alignment horizontal="justify" vertical="top" wrapText="1"/>
    </xf>
    <xf numFmtId="0" fontId="20" fillId="0" borderId="13" xfId="0" applyFont="1" applyFill="1" applyBorder="1" applyAlignment="1">
      <alignment horizontal="justify" vertical="top" wrapText="1"/>
    </xf>
    <xf numFmtId="0" fontId="20" fillId="0" borderId="14" xfId="0" applyFont="1" applyFill="1" applyBorder="1" applyAlignment="1">
      <alignment horizontal="justify" vertical="top" wrapText="1"/>
    </xf>
    <xf numFmtId="0" fontId="20" fillId="0" borderId="15" xfId="0" applyFont="1" applyFill="1" applyBorder="1" applyAlignment="1">
      <alignment horizontal="justify" vertical="top" wrapText="1"/>
    </xf>
    <xf numFmtId="0" fontId="2" fillId="0" borderId="14" xfId="0" applyFont="1" applyBorder="1" applyAlignment="1">
      <alignment horizontal="center" vertical="center"/>
    </xf>
    <xf numFmtId="0" fontId="6" fillId="0" borderId="0" xfId="0" applyFont="1" applyBorder="1" applyAlignment="1">
      <alignment horizontal="center"/>
    </xf>
    <xf numFmtId="3" fontId="24" fillId="0" borderId="6" xfId="0" applyNumberFormat="1" applyFont="1" applyFill="1" applyBorder="1" applyAlignment="1">
      <alignment horizontal="center" vertical="center"/>
    </xf>
    <xf numFmtId="3" fontId="24" fillId="0" borderId="7" xfId="0" applyNumberFormat="1" applyFont="1" applyFill="1" applyBorder="1" applyAlignment="1">
      <alignment horizontal="center" vertical="center"/>
    </xf>
    <xf numFmtId="3" fontId="24" fillId="0" borderId="8" xfId="0" applyNumberFormat="1" applyFont="1" applyFill="1" applyBorder="1" applyAlignment="1">
      <alignment horizontal="center" vertical="center"/>
    </xf>
    <xf numFmtId="0" fontId="24" fillId="0" borderId="0" xfId="0" applyFont="1" applyFill="1" applyBorder="1" applyAlignment="1">
      <alignment horizontal="center" vertical="center" wrapText="1"/>
    </xf>
    <xf numFmtId="3" fontId="24" fillId="0" borderId="3" xfId="0" applyNumberFormat="1" applyFont="1" applyFill="1" applyBorder="1" applyAlignment="1">
      <alignment horizontal="center" vertical="center" wrapText="1"/>
    </xf>
    <xf numFmtId="3" fontId="8" fillId="0" borderId="6" xfId="0" applyNumberFormat="1" applyFont="1" applyFill="1" applyBorder="1" applyAlignment="1">
      <alignment horizontal="center"/>
    </xf>
    <xf numFmtId="3" fontId="8" fillId="0" borderId="7" xfId="0" applyNumberFormat="1" applyFont="1" applyFill="1" applyBorder="1" applyAlignment="1">
      <alignment horizontal="center"/>
    </xf>
    <xf numFmtId="3" fontId="8" fillId="0" borderId="8" xfId="0" applyNumberFormat="1" applyFont="1" applyFill="1" applyBorder="1" applyAlignment="1">
      <alignment horizontal="center"/>
    </xf>
    <xf numFmtId="0" fontId="45" fillId="0" borderId="14" xfId="0" applyFont="1" applyBorder="1" applyAlignment="1">
      <alignment horizontal="center"/>
    </xf>
    <xf numFmtId="0" fontId="8" fillId="0" borderId="3" xfId="0" applyFont="1" applyFill="1" applyBorder="1" applyAlignment="1">
      <alignment horizontal="center" vertical="center"/>
    </xf>
    <xf numFmtId="0" fontId="8" fillId="0" borderId="6" xfId="0" applyFont="1" applyFill="1" applyBorder="1" applyAlignment="1">
      <alignment horizontal="center" wrapText="1"/>
    </xf>
    <xf numFmtId="0" fontId="8" fillId="0" borderId="8" xfId="0" applyFont="1" applyFill="1" applyBorder="1" applyAlignment="1">
      <alignment horizontal="center" wrapText="1"/>
    </xf>
    <xf numFmtId="0" fontId="24" fillId="0" borderId="3" xfId="0" applyFont="1" applyBorder="1" applyAlignment="1">
      <alignment horizontal="center" vertical="center"/>
    </xf>
    <xf numFmtId="3" fontId="24" fillId="0" borderId="6" xfId="0" applyNumberFormat="1" applyFont="1" applyFill="1" applyBorder="1" applyAlignment="1">
      <alignment horizontal="center"/>
    </xf>
    <xf numFmtId="3" fontId="24" fillId="0" borderId="7" xfId="0" applyNumberFormat="1" applyFont="1" applyFill="1" applyBorder="1" applyAlignment="1">
      <alignment horizontal="center"/>
    </xf>
    <xf numFmtId="3" fontId="24" fillId="0" borderId="8" xfId="0" applyNumberFormat="1" applyFont="1" applyFill="1" applyBorder="1" applyAlignment="1">
      <alignment horizontal="center"/>
    </xf>
    <xf numFmtId="0" fontId="24" fillId="0" borderId="6" xfId="0" applyFont="1" applyFill="1" applyBorder="1" applyAlignment="1">
      <alignment horizontal="center" vertical="top" wrapText="1"/>
    </xf>
    <xf numFmtId="0" fontId="24" fillId="0" borderId="8" xfId="0" applyFont="1" applyFill="1" applyBorder="1" applyAlignment="1">
      <alignment horizontal="center" vertical="top" wrapText="1"/>
    </xf>
    <xf numFmtId="0" fontId="24" fillId="0" borderId="10"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0" xfId="0" applyFont="1" applyBorder="1" applyAlignment="1">
      <alignment horizontal="center" vertical="center"/>
    </xf>
    <xf numFmtId="0" fontId="24" fillId="0" borderId="19" xfId="0" applyFont="1" applyBorder="1" applyAlignment="1">
      <alignment horizontal="center" vertical="center"/>
    </xf>
    <xf numFmtId="0" fontId="24" fillId="0" borderId="16" xfId="0" applyFont="1" applyBorder="1" applyAlignment="1">
      <alignment horizontal="center" vertical="center"/>
    </xf>
    <xf numFmtId="0" fontId="24" fillId="0" borderId="10" xfId="0" applyFont="1" applyFill="1" applyBorder="1" applyAlignment="1">
      <alignment horizontal="center" vertical="center"/>
    </xf>
    <xf numFmtId="0" fontId="24" fillId="0" borderId="16" xfId="0" applyFont="1" applyFill="1" applyBorder="1" applyAlignment="1">
      <alignment horizontal="center" vertical="center"/>
    </xf>
    <xf numFmtId="1" fontId="24" fillId="0" borderId="3"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0" fontId="21"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0"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1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 xfId="0" applyFont="1" applyBorder="1" applyAlignment="1">
      <alignment horizontal="center" vertical="center"/>
    </xf>
    <xf numFmtId="3" fontId="7" fillId="0" borderId="3" xfId="0" applyNumberFormat="1" applyFont="1" applyBorder="1" applyAlignment="1">
      <alignment horizontal="center" vertical="center" wrapText="1"/>
    </xf>
    <xf numFmtId="3" fontId="7" fillId="0" borderId="3" xfId="0" applyNumberFormat="1" applyFont="1" applyBorder="1" applyAlignment="1">
      <alignment horizontal="center"/>
    </xf>
    <xf numFmtId="0" fontId="12" fillId="0" borderId="10"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3" xfId="0" applyFont="1" applyBorder="1" applyAlignment="1">
      <alignment horizontal="center" vertical="center"/>
    </xf>
    <xf numFmtId="0" fontId="7" fillId="0" borderId="3" xfId="0" applyFont="1" applyBorder="1" applyAlignment="1">
      <alignment horizontal="center" vertical="center" wrapText="1"/>
    </xf>
    <xf numFmtId="0" fontId="52" fillId="0" borderId="3" xfId="0" applyFont="1" applyFill="1" applyBorder="1" applyAlignment="1">
      <alignment horizontal="center" vertical="center" wrapText="1"/>
    </xf>
    <xf numFmtId="0" fontId="50" fillId="0" borderId="3"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3"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2" fillId="0" borderId="1" xfId="0" applyFont="1" applyBorder="1" applyAlignment="1">
      <alignment horizontal="center"/>
    </xf>
    <xf numFmtId="0" fontId="2" fillId="0" borderId="34" xfId="0" applyFont="1" applyBorder="1" applyAlignment="1">
      <alignment horizontal="center"/>
    </xf>
    <xf numFmtId="0" fontId="7" fillId="4" borderId="35"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0" fillId="4" borderId="20" xfId="0" applyFill="1" applyBorder="1" applyAlignment="1">
      <alignment horizontal="center"/>
    </xf>
    <xf numFmtId="0" fontId="7" fillId="4" borderId="29"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31" xfId="0" applyFont="1" applyFill="1" applyBorder="1" applyAlignment="1">
      <alignment horizontal="center" vertical="center"/>
    </xf>
    <xf numFmtId="0" fontId="29" fillId="0" borderId="3" xfId="0" applyFont="1" applyFill="1" applyBorder="1" applyAlignment="1">
      <alignment horizontal="left" vertical="center" wrapText="1"/>
    </xf>
    <xf numFmtId="0" fontId="24" fillId="0" borderId="0" xfId="0" applyFont="1" applyAlignment="1">
      <alignment horizont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3" fontId="19" fillId="0" borderId="9" xfId="1" applyNumberFormat="1" applyFont="1" applyFill="1" applyBorder="1" applyAlignment="1">
      <alignment horizontal="right" vertical="top" wrapText="1"/>
    </xf>
    <xf numFmtId="3" fontId="19" fillId="0" borderId="5" xfId="1" applyNumberFormat="1" applyFont="1" applyFill="1" applyBorder="1" applyAlignment="1">
      <alignment horizontal="right" vertical="top" wrapText="1"/>
    </xf>
    <xf numFmtId="3" fontId="19" fillId="0" borderId="4" xfId="1" applyNumberFormat="1" applyFont="1" applyFill="1" applyBorder="1" applyAlignment="1">
      <alignment horizontal="right" vertical="top" wrapText="1"/>
    </xf>
    <xf numFmtId="3" fontId="19" fillId="0" borderId="13" xfId="1" applyNumberFormat="1" applyFont="1" applyFill="1" applyBorder="1" applyAlignment="1">
      <alignment horizontal="right" vertical="top" wrapText="1"/>
    </xf>
    <xf numFmtId="3" fontId="19" fillId="0" borderId="14" xfId="1" applyNumberFormat="1" applyFont="1" applyFill="1" applyBorder="1" applyAlignment="1">
      <alignment horizontal="right" vertical="top" wrapText="1"/>
    </xf>
    <xf numFmtId="3" fontId="19" fillId="0" borderId="15" xfId="1" applyNumberFormat="1" applyFont="1" applyFill="1" applyBorder="1" applyAlignment="1">
      <alignment horizontal="right" vertical="top" wrapText="1"/>
    </xf>
    <xf numFmtId="0" fontId="0" fillId="0" borderId="0" xfId="0" applyBorder="1" applyAlignment="1">
      <alignment wrapText="1"/>
    </xf>
    <xf numFmtId="0" fontId="31" fillId="0" borderId="3" xfId="0" applyFont="1" applyFill="1" applyBorder="1" applyAlignment="1">
      <alignment horizontal="center" wrapText="1"/>
    </xf>
    <xf numFmtId="0" fontId="31" fillId="0" borderId="3" xfId="0" applyFont="1" applyFill="1" applyBorder="1" applyAlignment="1">
      <alignment horizontal="justify" wrapText="1"/>
    </xf>
    <xf numFmtId="3" fontId="16" fillId="0" borderId="3" xfId="1" applyNumberFormat="1" applyFont="1" applyFill="1" applyBorder="1" applyAlignment="1">
      <alignment horizontal="right" wrapText="1"/>
    </xf>
    <xf numFmtId="0" fontId="17" fillId="0" borderId="9"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3"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0" borderId="15" xfId="0" applyFont="1" applyFill="1" applyBorder="1" applyAlignment="1">
      <alignment horizontal="center" vertical="top" wrapText="1"/>
    </xf>
    <xf numFmtId="0" fontId="31" fillId="0" borderId="3" xfId="0" applyFont="1" applyFill="1" applyBorder="1" applyAlignment="1">
      <alignment wrapText="1"/>
    </xf>
    <xf numFmtId="3" fontId="16" fillId="0" borderId="3" xfId="1" applyNumberFormat="1" applyFont="1" applyFill="1" applyBorder="1" applyAlignment="1">
      <alignment horizontal="right"/>
    </xf>
    <xf numFmtId="0" fontId="31" fillId="0" borderId="6" xfId="0" applyFont="1" applyFill="1" applyBorder="1" applyAlignment="1">
      <alignment horizontal="left" wrapText="1"/>
    </xf>
    <xf numFmtId="0" fontId="31" fillId="0" borderId="8" xfId="0" applyFont="1" applyFill="1" applyBorder="1" applyAlignment="1">
      <alignment horizontal="left" wrapText="1"/>
    </xf>
    <xf numFmtId="3" fontId="16" fillId="0" borderId="6" xfId="1" applyNumberFormat="1" applyFont="1" applyFill="1" applyBorder="1" applyAlignment="1">
      <alignment horizontal="right" wrapText="1"/>
    </xf>
    <xf numFmtId="3" fontId="16" fillId="0" borderId="7" xfId="1" applyNumberFormat="1" applyFont="1" applyFill="1" applyBorder="1" applyAlignment="1">
      <alignment horizontal="right" wrapText="1"/>
    </xf>
    <xf numFmtId="3" fontId="16" fillId="0" borderId="8" xfId="1" applyNumberFormat="1" applyFont="1" applyFill="1" applyBorder="1" applyAlignment="1">
      <alignment horizontal="right" wrapText="1"/>
    </xf>
    <xf numFmtId="0" fontId="12" fillId="0" borderId="3" xfId="0" applyFont="1" applyFill="1" applyBorder="1"/>
    <xf numFmtId="0" fontId="12" fillId="0" borderId="3" xfId="0" applyFont="1" applyFill="1" applyBorder="1" applyAlignment="1">
      <alignment horizontal="center" vertical="top" wrapText="1"/>
    </xf>
    <xf numFmtId="0" fontId="12" fillId="0" borderId="0" xfId="0" applyFont="1" applyFill="1" applyAlignment="1">
      <alignment horizontal="center"/>
    </xf>
    <xf numFmtId="0" fontId="11" fillId="0" borderId="0" xfId="0" applyFont="1" applyFill="1" applyBorder="1" applyAlignment="1">
      <alignment horizontal="center" vertical="top" wrapText="1"/>
    </xf>
    <xf numFmtId="0" fontId="34" fillId="0" borderId="3" xfId="0" applyFont="1" applyBorder="1" applyAlignment="1">
      <alignment horizontal="center"/>
    </xf>
    <xf numFmtId="0" fontId="34" fillId="2" borderId="3" xfId="0" applyFont="1" applyFill="1" applyBorder="1" applyAlignment="1">
      <alignment horizontal="center"/>
    </xf>
    <xf numFmtId="0" fontId="27" fillId="2" borderId="3" xfId="0" applyFont="1" applyFill="1" applyBorder="1" applyAlignment="1">
      <alignment horizontal="center"/>
    </xf>
    <xf numFmtId="0" fontId="27" fillId="2" borderId="3" xfId="0" applyFont="1" applyFill="1" applyBorder="1" applyAlignment="1">
      <alignment horizontal="center" wrapText="1"/>
    </xf>
    <xf numFmtId="0" fontId="27" fillId="2" borderId="3" xfId="0" applyFont="1" applyFill="1" applyBorder="1" applyAlignment="1">
      <alignment horizontal="center" textRotation="90" wrapText="1"/>
    </xf>
    <xf numFmtId="0" fontId="34" fillId="2" borderId="3" xfId="0" applyFont="1" applyFill="1" applyBorder="1" applyAlignment="1">
      <alignment horizontal="center" wrapText="1"/>
    </xf>
    <xf numFmtId="0" fontId="27" fillId="2" borderId="3" xfId="0" applyFont="1" applyFill="1" applyBorder="1" applyAlignment="1">
      <alignment horizontal="right"/>
    </xf>
    <xf numFmtId="3" fontId="25" fillId="0" borderId="5" xfId="0" applyNumberFormat="1" applyFont="1" applyFill="1" applyBorder="1" applyAlignment="1">
      <alignment horizontal="right" vertical="center" wrapText="1"/>
    </xf>
    <xf numFmtId="3" fontId="25" fillId="0" borderId="0" xfId="0" applyNumberFormat="1" applyFont="1" applyFill="1" applyBorder="1" applyAlignment="1">
      <alignment horizontal="right" vertical="center" wrapText="1"/>
    </xf>
    <xf numFmtId="3" fontId="44" fillId="0" borderId="3" xfId="0" applyNumberFormat="1" applyFont="1" applyFill="1" applyBorder="1" applyAlignment="1">
      <alignment vertical="center" wrapText="1"/>
    </xf>
  </cellXfs>
  <cellStyles count="2">
    <cellStyle name="Moneda" xfId="1" builtinId="4"/>
    <cellStyle name="Normal" xfId="0" builtinId="0"/>
  </cellStyles>
  <dxfs count="0"/>
  <tableStyles count="0" defaultTableStyle="TableStyleMedium9" defaultPivotStyle="PivotStyleLight16"/>
  <colors>
    <mruColors>
      <color rgb="FF66FFFF"/>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561975</xdr:colOff>
      <xdr:row>24</xdr:row>
      <xdr:rowOff>28575</xdr:rowOff>
    </xdr:from>
    <xdr:to>
      <xdr:col>6</xdr:col>
      <xdr:colOff>361950</xdr:colOff>
      <xdr:row>32</xdr:row>
      <xdr:rowOff>180975</xdr:rowOff>
    </xdr:to>
    <xdr:pic>
      <xdr:nvPicPr>
        <xdr:cNvPr id="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4949825"/>
          <a:ext cx="4752975"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561975</xdr:colOff>
      <xdr:row>21</xdr:row>
      <xdr:rowOff>28575</xdr:rowOff>
    </xdr:from>
    <xdr:to>
      <xdr:col>6</xdr:col>
      <xdr:colOff>361950</xdr:colOff>
      <xdr:row>29</xdr:row>
      <xdr:rowOff>180975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4962525"/>
          <a:ext cx="4714875"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561975</xdr:colOff>
      <xdr:row>21</xdr:row>
      <xdr:rowOff>28575</xdr:rowOff>
    </xdr:from>
    <xdr:to>
      <xdr:col>6</xdr:col>
      <xdr:colOff>361950</xdr:colOff>
      <xdr:row>29</xdr:row>
      <xdr:rowOff>180975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4391025"/>
          <a:ext cx="4714875"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view="pageLayout" zoomScaleNormal="100" workbookViewId="0">
      <selection activeCell="G17" sqref="G17"/>
    </sheetView>
  </sheetViews>
  <sheetFormatPr baseColWidth="10" defaultRowHeight="15" x14ac:dyDescent="0.25"/>
  <sheetData>
    <row r="1" spans="1:7" s="113" customFormat="1" x14ac:dyDescent="0.25"/>
    <row r="2" spans="1:7" s="113" customFormat="1" x14ac:dyDescent="0.25"/>
    <row r="3" spans="1:7" s="113" customFormat="1" x14ac:dyDescent="0.25"/>
    <row r="4" spans="1:7" s="113" customFormat="1" x14ac:dyDescent="0.25"/>
    <row r="5" spans="1:7" s="113" customFormat="1" x14ac:dyDescent="0.25"/>
    <row r="6" spans="1:7" s="113" customFormat="1" x14ac:dyDescent="0.25"/>
    <row r="7" spans="1:7" s="113" customFormat="1" x14ac:dyDescent="0.25"/>
    <row r="8" spans="1:7" s="113" customFormat="1" x14ac:dyDescent="0.25"/>
    <row r="9" spans="1:7" s="113" customFormat="1" x14ac:dyDescent="0.25"/>
    <row r="10" spans="1:7" s="113" customFormat="1" x14ac:dyDescent="0.25"/>
    <row r="11" spans="1:7" ht="15" customHeight="1" x14ac:dyDescent="0.25">
      <c r="A11" s="839" t="s">
        <v>1978</v>
      </c>
      <c r="B11" s="839"/>
      <c r="C11" s="839"/>
      <c r="D11" s="839"/>
      <c r="E11" s="839"/>
      <c r="F11" s="839"/>
      <c r="G11" s="839"/>
    </row>
    <row r="12" spans="1:7" ht="15" customHeight="1" x14ac:dyDescent="0.25">
      <c r="A12" s="839"/>
      <c r="B12" s="839"/>
      <c r="C12" s="839"/>
      <c r="D12" s="839"/>
      <c r="E12" s="839"/>
      <c r="F12" s="839"/>
      <c r="G12" s="839"/>
    </row>
    <row r="13" spans="1:7" x14ac:dyDescent="0.25">
      <c r="G13" s="789"/>
    </row>
    <row r="14" spans="1:7" x14ac:dyDescent="0.25">
      <c r="G14" s="789"/>
    </row>
    <row r="15" spans="1:7" ht="43.5" customHeight="1" x14ac:dyDescent="0.25">
      <c r="A15" s="840" t="s">
        <v>1979</v>
      </c>
      <c r="B15" s="840"/>
      <c r="C15" s="840"/>
      <c r="D15" s="840"/>
      <c r="E15" s="840"/>
      <c r="F15" s="840"/>
      <c r="G15" s="840"/>
    </row>
    <row r="16" spans="1:7" ht="15" customHeight="1" x14ac:dyDescent="0.25">
      <c r="A16" s="840"/>
      <c r="B16" s="840"/>
      <c r="C16" s="840"/>
      <c r="D16" s="840"/>
      <c r="E16" s="840"/>
      <c r="F16" s="840"/>
      <c r="G16" s="840"/>
    </row>
    <row r="17" spans="1:7" s="113" customFormat="1" ht="15" customHeight="1" x14ac:dyDescent="0.25">
      <c r="A17" s="790"/>
      <c r="B17" s="790"/>
      <c r="C17" s="790"/>
      <c r="D17" s="790"/>
      <c r="E17" s="790"/>
      <c r="F17" s="790"/>
      <c r="G17" s="790"/>
    </row>
    <row r="18" spans="1:7" s="113" customFormat="1" ht="15" customHeight="1" x14ac:dyDescent="0.25">
      <c r="A18" s="790"/>
      <c r="B18" s="790"/>
      <c r="C18" s="790"/>
      <c r="D18" s="790"/>
      <c r="E18" s="790"/>
      <c r="F18" s="790"/>
      <c r="G18" s="790"/>
    </row>
    <row r="19" spans="1:7" s="113" customFormat="1" ht="15" customHeight="1" x14ac:dyDescent="0.25">
      <c r="A19" s="790"/>
      <c r="B19" s="790"/>
      <c r="C19" s="790"/>
      <c r="D19" s="790"/>
      <c r="E19" s="790"/>
      <c r="F19" s="790"/>
      <c r="G19" s="790"/>
    </row>
    <row r="20" spans="1:7" s="113" customFormat="1" ht="15" customHeight="1" x14ac:dyDescent="0.25">
      <c r="A20" s="790"/>
      <c r="B20" s="790"/>
      <c r="C20" s="790"/>
      <c r="D20" s="790"/>
      <c r="E20" s="790"/>
      <c r="F20" s="790"/>
      <c r="G20" s="790"/>
    </row>
    <row r="21" spans="1:7" s="113" customFormat="1" ht="15" customHeight="1" x14ac:dyDescent="0.25">
      <c r="A21" s="790"/>
      <c r="B21" s="790"/>
      <c r="C21" s="790"/>
      <c r="D21" s="790"/>
      <c r="E21" s="790"/>
      <c r="F21" s="790"/>
      <c r="G21" s="790"/>
    </row>
    <row r="22" spans="1:7" s="113" customFormat="1" ht="15" customHeight="1" x14ac:dyDescent="0.25">
      <c r="A22" s="790"/>
      <c r="B22" s="790"/>
      <c r="C22" s="790"/>
      <c r="D22" s="790"/>
      <c r="E22" s="790"/>
      <c r="F22" s="790"/>
      <c r="G22" s="790"/>
    </row>
    <row r="23" spans="1:7" s="113" customFormat="1" ht="15" customHeight="1" x14ac:dyDescent="0.25">
      <c r="A23" s="790"/>
      <c r="B23" s="790"/>
      <c r="C23" s="790"/>
      <c r="D23" s="790"/>
      <c r="E23" s="790"/>
      <c r="F23" s="790"/>
      <c r="G23" s="790"/>
    </row>
    <row r="24" spans="1:7" x14ac:dyDescent="0.25">
      <c r="G24" s="789"/>
    </row>
    <row r="25" spans="1:7" x14ac:dyDescent="0.25">
      <c r="A25" s="843"/>
      <c r="B25" s="843"/>
      <c r="C25" s="843"/>
      <c r="D25" s="843"/>
      <c r="E25" s="843"/>
      <c r="F25" s="843"/>
      <c r="G25" s="789"/>
    </row>
    <row r="26" spans="1:7" x14ac:dyDescent="0.25">
      <c r="G26" s="789"/>
    </row>
    <row r="27" spans="1:7" x14ac:dyDescent="0.25">
      <c r="G27" s="789"/>
    </row>
    <row r="28" spans="1:7" x14ac:dyDescent="0.25">
      <c r="G28" s="789"/>
    </row>
    <row r="29" spans="1:7" x14ac:dyDescent="0.25">
      <c r="G29" s="789"/>
    </row>
    <row r="30" spans="1:7" x14ac:dyDescent="0.25">
      <c r="A30" s="844"/>
      <c r="B30" s="844"/>
      <c r="C30" s="844"/>
      <c r="D30" s="844"/>
      <c r="E30" s="844"/>
      <c r="F30" s="844"/>
      <c r="G30" s="789"/>
    </row>
    <row r="31" spans="1:7" x14ac:dyDescent="0.25">
      <c r="G31" s="789"/>
    </row>
    <row r="32" spans="1:7" x14ac:dyDescent="0.25">
      <c r="G32" s="789"/>
    </row>
    <row r="33" spans="1:7" x14ac:dyDescent="0.25">
      <c r="G33" s="789"/>
    </row>
    <row r="34" spans="1:7" s="113" customFormat="1" x14ac:dyDescent="0.25">
      <c r="G34" s="789"/>
    </row>
    <row r="35" spans="1:7" s="113" customFormat="1" x14ac:dyDescent="0.25">
      <c r="G35" s="789"/>
    </row>
    <row r="36" spans="1:7" s="113" customFormat="1" x14ac:dyDescent="0.25">
      <c r="G36" s="789"/>
    </row>
    <row r="37" spans="1:7" s="113" customFormat="1" x14ac:dyDescent="0.25">
      <c r="G37" s="789"/>
    </row>
    <row r="38" spans="1:7" s="113" customFormat="1" x14ac:dyDescent="0.25">
      <c r="G38" s="789"/>
    </row>
    <row r="39" spans="1:7" s="113" customFormat="1" x14ac:dyDescent="0.25">
      <c r="G39" s="789"/>
    </row>
    <row r="40" spans="1:7" s="113" customFormat="1" x14ac:dyDescent="0.25">
      <c r="G40" s="789"/>
    </row>
    <row r="41" spans="1:7" s="113" customFormat="1" x14ac:dyDescent="0.25">
      <c r="G41" s="789"/>
    </row>
    <row r="42" spans="1:7" s="113" customFormat="1" x14ac:dyDescent="0.25">
      <c r="G42" s="789"/>
    </row>
    <row r="43" spans="1:7" x14ac:dyDescent="0.25">
      <c r="A43" s="844"/>
      <c r="B43" s="844"/>
      <c r="C43" s="844"/>
      <c r="D43" s="844"/>
      <c r="E43" s="844"/>
      <c r="F43" s="844"/>
      <c r="G43" s="789"/>
    </row>
    <row r="44" spans="1:7" ht="76.5" customHeight="1" x14ac:dyDescent="0.25">
      <c r="A44" s="841" t="s">
        <v>1980</v>
      </c>
      <c r="B44" s="841"/>
      <c r="C44" s="841"/>
      <c r="D44" s="841"/>
      <c r="E44" s="841"/>
      <c r="F44" s="841"/>
      <c r="G44" s="841"/>
    </row>
    <row r="45" spans="1:7" x14ac:dyDescent="0.25">
      <c r="G45" s="789"/>
    </row>
    <row r="46" spans="1:7" s="113" customFormat="1" x14ac:dyDescent="0.25">
      <c r="G46" s="789"/>
    </row>
    <row r="47" spans="1:7" x14ac:dyDescent="0.25">
      <c r="A47" s="838"/>
      <c r="B47" s="838"/>
      <c r="C47" s="838"/>
      <c r="D47" s="838"/>
      <c r="E47" s="838"/>
      <c r="F47" s="838"/>
      <c r="G47" s="789"/>
    </row>
    <row r="48" spans="1:7" x14ac:dyDescent="0.25">
      <c r="A48" s="838"/>
      <c r="B48" s="838"/>
      <c r="C48" s="838"/>
      <c r="D48" s="838"/>
      <c r="E48" s="838"/>
      <c r="F48" s="838"/>
      <c r="G48" s="789"/>
    </row>
    <row r="49" spans="1:7" ht="31.5" x14ac:dyDescent="0.25">
      <c r="A49" s="842">
        <v>2015</v>
      </c>
      <c r="B49" s="842"/>
      <c r="C49" s="842"/>
      <c r="D49" s="842"/>
      <c r="E49" s="842"/>
      <c r="F49" s="842"/>
      <c r="G49" s="842"/>
    </row>
    <row r="50" spans="1:7" x14ac:dyDescent="0.25">
      <c r="A50" s="163"/>
    </row>
    <row r="51" spans="1:7" x14ac:dyDescent="0.25">
      <c r="A51" s="163"/>
    </row>
    <row r="52" spans="1:7" x14ac:dyDescent="0.25">
      <c r="A52" s="163"/>
    </row>
    <row r="53" spans="1:7" x14ac:dyDescent="0.25">
      <c r="A53" s="163"/>
    </row>
    <row r="54" spans="1:7" x14ac:dyDescent="0.25">
      <c r="A54" s="163"/>
    </row>
    <row r="55" spans="1:7" x14ac:dyDescent="0.25">
      <c r="A55" s="163"/>
    </row>
  </sheetData>
  <mergeCells count="8">
    <mergeCell ref="A47:F48"/>
    <mergeCell ref="A11:G12"/>
    <mergeCell ref="A15:G16"/>
    <mergeCell ref="A44:G44"/>
    <mergeCell ref="A49:G49"/>
    <mergeCell ref="A25:F25"/>
    <mergeCell ref="A30:F30"/>
    <mergeCell ref="A43:F43"/>
  </mergeCells>
  <pageMargins left="0.7" right="0.7" top="0.75" bottom="0.75" header="0.3" footer="0.3"/>
  <pageSetup paperSize="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B0F0"/>
  </sheetPr>
  <dimension ref="A1:K49"/>
  <sheetViews>
    <sheetView showGridLines="0" view="pageLayout" zoomScale="90" zoomScalePageLayoutView="90" workbookViewId="0">
      <selection sqref="A1:K49"/>
    </sheetView>
  </sheetViews>
  <sheetFormatPr baseColWidth="10" defaultRowHeight="15" x14ac:dyDescent="0.25"/>
  <cols>
    <col min="1" max="1" width="11.42578125" style="145"/>
    <col min="2" max="2" width="22.85546875" style="145" customWidth="1"/>
    <col min="3" max="3" width="6" style="145" customWidth="1"/>
    <col min="4" max="5" width="11.42578125" style="145"/>
    <col min="6" max="6" width="5.7109375" style="145" customWidth="1"/>
    <col min="7" max="8" width="11.42578125" style="145"/>
    <col min="9" max="9" width="5.85546875" style="145" customWidth="1"/>
    <col min="10" max="16384" width="11.42578125" style="145"/>
  </cols>
  <sheetData>
    <row r="1" spans="1:11" x14ac:dyDescent="0.25">
      <c r="A1" s="867" t="s">
        <v>232</v>
      </c>
      <c r="B1" s="867"/>
      <c r="C1" s="867"/>
      <c r="D1" s="867"/>
      <c r="E1" s="867"/>
      <c r="F1" s="867"/>
      <c r="G1" s="867"/>
      <c r="H1" s="867"/>
      <c r="I1" s="867"/>
      <c r="J1" s="867"/>
      <c r="K1" s="867"/>
    </row>
    <row r="2" spans="1:11" x14ac:dyDescent="0.25">
      <c r="A2" s="867" t="s">
        <v>1396</v>
      </c>
      <c r="B2" s="867"/>
      <c r="C2" s="867"/>
      <c r="D2" s="867"/>
      <c r="E2" s="867"/>
      <c r="F2" s="867"/>
      <c r="G2" s="867"/>
      <c r="H2" s="867"/>
      <c r="I2" s="867"/>
      <c r="J2" s="867"/>
      <c r="K2" s="867"/>
    </row>
    <row r="3" spans="1:11" ht="15" customHeight="1" x14ac:dyDescent="0.25">
      <c r="A3" s="872" t="s">
        <v>233</v>
      </c>
      <c r="B3" s="872" t="s">
        <v>234</v>
      </c>
      <c r="C3" s="872" t="s">
        <v>235</v>
      </c>
      <c r="D3" s="872"/>
      <c r="E3" s="872"/>
      <c r="F3" s="872"/>
      <c r="G3" s="872"/>
      <c r="H3" s="872"/>
      <c r="I3" s="872"/>
      <c r="J3" s="872"/>
      <c r="K3" s="872"/>
    </row>
    <row r="4" spans="1:11" x14ac:dyDescent="0.25">
      <c r="A4" s="872"/>
      <c r="B4" s="872"/>
      <c r="C4" s="872" t="s">
        <v>236</v>
      </c>
      <c r="D4" s="872"/>
      <c r="E4" s="872"/>
      <c r="F4" s="872" t="s">
        <v>237</v>
      </c>
      <c r="G4" s="872"/>
      <c r="H4" s="872"/>
      <c r="I4" s="872" t="s">
        <v>238</v>
      </c>
      <c r="J4" s="872"/>
      <c r="K4" s="872"/>
    </row>
    <row r="5" spans="1:11" ht="24" x14ac:dyDescent="0.25">
      <c r="A5" s="872"/>
      <c r="B5" s="872"/>
      <c r="C5" s="184" t="s">
        <v>1436</v>
      </c>
      <c r="D5" s="184" t="s">
        <v>239</v>
      </c>
      <c r="E5" s="184" t="s">
        <v>180</v>
      </c>
      <c r="F5" s="184" t="s">
        <v>1436</v>
      </c>
      <c r="G5" s="184" t="s">
        <v>239</v>
      </c>
      <c r="H5" s="184" t="s">
        <v>180</v>
      </c>
      <c r="I5" s="184" t="s">
        <v>1436</v>
      </c>
      <c r="J5" s="184" t="s">
        <v>239</v>
      </c>
      <c r="K5" s="184" t="s">
        <v>180</v>
      </c>
    </row>
    <row r="6" spans="1:11" ht="18" customHeight="1" x14ac:dyDescent="0.25">
      <c r="A6" s="146">
        <v>1</v>
      </c>
      <c r="B6" s="147" t="s">
        <v>241</v>
      </c>
      <c r="C6" s="143">
        <v>1</v>
      </c>
      <c r="D6" s="144">
        <v>146770</v>
      </c>
      <c r="E6" s="144">
        <f>D6*C6</f>
        <v>146770</v>
      </c>
      <c r="F6" s="143">
        <v>1</v>
      </c>
      <c r="G6" s="144">
        <v>146770</v>
      </c>
      <c r="H6" s="144">
        <f>G6*F6</f>
        <v>146770</v>
      </c>
      <c r="I6" s="143">
        <v>1</v>
      </c>
      <c r="J6" s="144">
        <v>146770</v>
      </c>
      <c r="K6" s="144">
        <f>J6*I6</f>
        <v>146770</v>
      </c>
    </row>
    <row r="7" spans="1:11" ht="18" customHeight="1" x14ac:dyDescent="0.25">
      <c r="A7" s="146">
        <v>2</v>
      </c>
      <c r="B7" s="147" t="s">
        <v>242</v>
      </c>
      <c r="C7" s="143">
        <v>1</v>
      </c>
      <c r="D7" s="144">
        <v>146770</v>
      </c>
      <c r="E7" s="144">
        <f t="shared" ref="E7:E43" si="0">D7*C7</f>
        <v>146770</v>
      </c>
      <c r="F7" s="143">
        <v>1</v>
      </c>
      <c r="G7" s="144">
        <v>146770</v>
      </c>
      <c r="H7" s="144">
        <f t="shared" ref="H7:H45" si="1">G7*F7</f>
        <v>146770</v>
      </c>
      <c r="I7" s="143">
        <v>1</v>
      </c>
      <c r="J7" s="144">
        <v>146770</v>
      </c>
      <c r="K7" s="144">
        <f t="shared" ref="K7:K45" si="2">J7*I7</f>
        <v>146770</v>
      </c>
    </row>
    <row r="8" spans="1:11" ht="18" customHeight="1" x14ac:dyDescent="0.25">
      <c r="A8" s="146">
        <v>3</v>
      </c>
      <c r="B8" s="147" t="s">
        <v>243</v>
      </c>
      <c r="C8" s="143">
        <v>1</v>
      </c>
      <c r="D8" s="144">
        <v>146770</v>
      </c>
      <c r="E8" s="144">
        <f t="shared" si="0"/>
        <v>146770</v>
      </c>
      <c r="F8" s="143">
        <v>1</v>
      </c>
      <c r="G8" s="144">
        <v>146770</v>
      </c>
      <c r="H8" s="144">
        <f t="shared" si="1"/>
        <v>146770</v>
      </c>
      <c r="I8" s="143">
        <v>1</v>
      </c>
      <c r="J8" s="144">
        <v>146770</v>
      </c>
      <c r="K8" s="144">
        <f t="shared" si="2"/>
        <v>146770</v>
      </c>
    </row>
    <row r="9" spans="1:11" ht="18" customHeight="1" x14ac:dyDescent="0.25">
      <c r="A9" s="146">
        <v>4</v>
      </c>
      <c r="B9" s="147" t="s">
        <v>244</v>
      </c>
      <c r="C9" s="143">
        <v>1</v>
      </c>
      <c r="D9" s="144">
        <v>146770</v>
      </c>
      <c r="E9" s="144">
        <f t="shared" si="0"/>
        <v>146770</v>
      </c>
      <c r="F9" s="143">
        <v>1</v>
      </c>
      <c r="G9" s="144">
        <v>146770</v>
      </c>
      <c r="H9" s="144">
        <f t="shared" si="1"/>
        <v>146770</v>
      </c>
      <c r="I9" s="143">
        <v>1</v>
      </c>
      <c r="J9" s="144">
        <v>146770</v>
      </c>
      <c r="K9" s="144">
        <f t="shared" si="2"/>
        <v>146770</v>
      </c>
    </row>
    <row r="10" spans="1:11" ht="18" customHeight="1" x14ac:dyDescent="0.25">
      <c r="A10" s="146">
        <v>5</v>
      </c>
      <c r="B10" s="147" t="s">
        <v>245</v>
      </c>
      <c r="C10" s="143">
        <v>1</v>
      </c>
      <c r="D10" s="144">
        <v>146770</v>
      </c>
      <c r="E10" s="144">
        <f t="shared" si="0"/>
        <v>146770</v>
      </c>
      <c r="F10" s="143">
        <v>1</v>
      </c>
      <c r="G10" s="144">
        <v>146770</v>
      </c>
      <c r="H10" s="144">
        <f t="shared" si="1"/>
        <v>146770</v>
      </c>
      <c r="I10" s="143">
        <v>1</v>
      </c>
      <c r="J10" s="144">
        <v>146770</v>
      </c>
      <c r="K10" s="144">
        <f t="shared" si="2"/>
        <v>146770</v>
      </c>
    </row>
    <row r="11" spans="1:11" ht="18" customHeight="1" x14ac:dyDescent="0.25">
      <c r="A11" s="146">
        <v>6</v>
      </c>
      <c r="B11" s="147" t="s">
        <v>246</v>
      </c>
      <c r="C11" s="143">
        <v>1</v>
      </c>
      <c r="D11" s="144">
        <v>146770</v>
      </c>
      <c r="E11" s="144">
        <f t="shared" si="0"/>
        <v>146770</v>
      </c>
      <c r="F11" s="143">
        <v>1</v>
      </c>
      <c r="G11" s="144">
        <v>146770</v>
      </c>
      <c r="H11" s="144">
        <f t="shared" si="1"/>
        <v>146770</v>
      </c>
      <c r="I11" s="143">
        <v>1</v>
      </c>
      <c r="J11" s="144">
        <v>146770</v>
      </c>
      <c r="K11" s="144">
        <f t="shared" si="2"/>
        <v>146770</v>
      </c>
    </row>
    <row r="12" spans="1:11" ht="18" customHeight="1" x14ac:dyDescent="0.25">
      <c r="A12" s="146">
        <v>7</v>
      </c>
      <c r="B12" s="147" t="s">
        <v>247</v>
      </c>
      <c r="C12" s="143">
        <v>1</v>
      </c>
      <c r="D12" s="144">
        <v>146770</v>
      </c>
      <c r="E12" s="144">
        <f t="shared" si="0"/>
        <v>146770</v>
      </c>
      <c r="F12" s="143">
        <v>1</v>
      </c>
      <c r="G12" s="144">
        <v>146770</v>
      </c>
      <c r="H12" s="144">
        <f t="shared" si="1"/>
        <v>146770</v>
      </c>
      <c r="I12" s="143">
        <v>1</v>
      </c>
      <c r="J12" s="144">
        <v>146770</v>
      </c>
      <c r="K12" s="144">
        <f t="shared" si="2"/>
        <v>146770</v>
      </c>
    </row>
    <row r="13" spans="1:11" ht="18" customHeight="1" x14ac:dyDescent="0.25">
      <c r="A13" s="146">
        <v>8</v>
      </c>
      <c r="B13" s="147" t="s">
        <v>248</v>
      </c>
      <c r="C13" s="143">
        <v>1</v>
      </c>
      <c r="D13" s="144">
        <v>146770</v>
      </c>
      <c r="E13" s="144">
        <f t="shared" si="0"/>
        <v>146770</v>
      </c>
      <c r="F13" s="143">
        <v>1</v>
      </c>
      <c r="G13" s="144">
        <v>146770</v>
      </c>
      <c r="H13" s="144">
        <f t="shared" si="1"/>
        <v>146770</v>
      </c>
      <c r="I13" s="143">
        <v>1</v>
      </c>
      <c r="J13" s="144">
        <v>146770</v>
      </c>
      <c r="K13" s="144">
        <f t="shared" si="2"/>
        <v>146770</v>
      </c>
    </row>
    <row r="14" spans="1:11" ht="18" customHeight="1" x14ac:dyDescent="0.25">
      <c r="A14" s="146">
        <v>9</v>
      </c>
      <c r="B14" s="147" t="s">
        <v>249</v>
      </c>
      <c r="C14" s="143">
        <v>1</v>
      </c>
      <c r="D14" s="144">
        <v>146770</v>
      </c>
      <c r="E14" s="144">
        <f t="shared" si="0"/>
        <v>146770</v>
      </c>
      <c r="F14" s="143">
        <v>1</v>
      </c>
      <c r="G14" s="144">
        <v>146770</v>
      </c>
      <c r="H14" s="144">
        <f t="shared" si="1"/>
        <v>146770</v>
      </c>
      <c r="I14" s="143">
        <v>1</v>
      </c>
      <c r="J14" s="144">
        <v>146770</v>
      </c>
      <c r="K14" s="144">
        <f t="shared" si="2"/>
        <v>146770</v>
      </c>
    </row>
    <row r="15" spans="1:11" ht="18" customHeight="1" x14ac:dyDescent="0.25">
      <c r="A15" s="146">
        <v>10</v>
      </c>
      <c r="B15" s="147" t="s">
        <v>250</v>
      </c>
      <c r="C15" s="143">
        <v>1</v>
      </c>
      <c r="D15" s="144">
        <v>146770</v>
      </c>
      <c r="E15" s="144">
        <f t="shared" si="0"/>
        <v>146770</v>
      </c>
      <c r="F15" s="143">
        <v>1</v>
      </c>
      <c r="G15" s="144">
        <v>146770</v>
      </c>
      <c r="H15" s="144">
        <f t="shared" si="1"/>
        <v>146770</v>
      </c>
      <c r="I15" s="143">
        <v>1</v>
      </c>
      <c r="J15" s="144">
        <v>146770</v>
      </c>
      <c r="K15" s="144">
        <f t="shared" si="2"/>
        <v>146770</v>
      </c>
    </row>
    <row r="16" spans="1:11" ht="18" customHeight="1" x14ac:dyDescent="0.25">
      <c r="A16" s="146">
        <v>11</v>
      </c>
      <c r="B16" s="147" t="s">
        <v>251</v>
      </c>
      <c r="C16" s="143">
        <v>1</v>
      </c>
      <c r="D16" s="144">
        <v>146770</v>
      </c>
      <c r="E16" s="144">
        <f t="shared" si="0"/>
        <v>146770</v>
      </c>
      <c r="F16" s="143">
        <v>1</v>
      </c>
      <c r="G16" s="144">
        <v>146770</v>
      </c>
      <c r="H16" s="144">
        <f t="shared" si="1"/>
        <v>146770</v>
      </c>
      <c r="I16" s="143">
        <v>1</v>
      </c>
      <c r="J16" s="144">
        <v>146770</v>
      </c>
      <c r="K16" s="144">
        <f t="shared" si="2"/>
        <v>146770</v>
      </c>
    </row>
    <row r="17" spans="1:11" ht="18" customHeight="1" x14ac:dyDescent="0.25">
      <c r="A17" s="146">
        <v>12</v>
      </c>
      <c r="B17" s="147" t="s">
        <v>252</v>
      </c>
      <c r="C17" s="143">
        <v>1</v>
      </c>
      <c r="D17" s="144">
        <v>146770</v>
      </c>
      <c r="E17" s="144">
        <f t="shared" si="0"/>
        <v>146770</v>
      </c>
      <c r="F17" s="143">
        <v>1</v>
      </c>
      <c r="G17" s="144">
        <v>146770</v>
      </c>
      <c r="H17" s="144">
        <f t="shared" si="1"/>
        <v>146770</v>
      </c>
      <c r="I17" s="143">
        <v>1</v>
      </c>
      <c r="J17" s="144">
        <v>146770</v>
      </c>
      <c r="K17" s="144">
        <f t="shared" si="2"/>
        <v>146770</v>
      </c>
    </row>
    <row r="18" spans="1:11" ht="18" customHeight="1" x14ac:dyDescent="0.25">
      <c r="A18" s="146">
        <v>13</v>
      </c>
      <c r="B18" s="147" t="s">
        <v>253</v>
      </c>
      <c r="C18" s="143">
        <v>1</v>
      </c>
      <c r="D18" s="144">
        <v>146770</v>
      </c>
      <c r="E18" s="144">
        <f t="shared" si="0"/>
        <v>146770</v>
      </c>
      <c r="F18" s="143">
        <v>1</v>
      </c>
      <c r="G18" s="144">
        <v>146770</v>
      </c>
      <c r="H18" s="144">
        <f t="shared" si="1"/>
        <v>146770</v>
      </c>
      <c r="I18" s="143">
        <v>1</v>
      </c>
      <c r="J18" s="144">
        <v>146770</v>
      </c>
      <c r="K18" s="144">
        <f t="shared" si="2"/>
        <v>146770</v>
      </c>
    </row>
    <row r="19" spans="1:11" ht="18" customHeight="1" x14ac:dyDescent="0.25">
      <c r="A19" s="146">
        <v>14</v>
      </c>
      <c r="B19" s="147" t="s">
        <v>254</v>
      </c>
      <c r="C19" s="143">
        <v>1</v>
      </c>
      <c r="D19" s="144">
        <v>146770</v>
      </c>
      <c r="E19" s="144">
        <f t="shared" si="0"/>
        <v>146770</v>
      </c>
      <c r="F19" s="143">
        <v>1</v>
      </c>
      <c r="G19" s="144">
        <v>146770</v>
      </c>
      <c r="H19" s="144">
        <f t="shared" si="1"/>
        <v>146770</v>
      </c>
      <c r="I19" s="143">
        <v>1</v>
      </c>
      <c r="J19" s="144">
        <v>146770</v>
      </c>
      <c r="K19" s="144">
        <f t="shared" si="2"/>
        <v>146770</v>
      </c>
    </row>
    <row r="20" spans="1:11" ht="18" customHeight="1" x14ac:dyDescent="0.25">
      <c r="A20" s="146">
        <v>15</v>
      </c>
      <c r="B20" s="147" t="s">
        <v>255</v>
      </c>
      <c r="C20" s="143">
        <v>1</v>
      </c>
      <c r="D20" s="144">
        <v>146770</v>
      </c>
      <c r="E20" s="144">
        <f t="shared" si="0"/>
        <v>146770</v>
      </c>
      <c r="F20" s="143">
        <v>1</v>
      </c>
      <c r="G20" s="144">
        <v>146770</v>
      </c>
      <c r="H20" s="144">
        <f t="shared" si="1"/>
        <v>146770</v>
      </c>
      <c r="I20" s="143">
        <v>1</v>
      </c>
      <c r="J20" s="144">
        <v>146770</v>
      </c>
      <c r="K20" s="144">
        <f t="shared" si="2"/>
        <v>146770</v>
      </c>
    </row>
    <row r="21" spans="1:11" ht="18" customHeight="1" x14ac:dyDescent="0.25">
      <c r="A21" s="146">
        <v>16</v>
      </c>
      <c r="B21" s="147" t="s">
        <v>256</v>
      </c>
      <c r="C21" s="143">
        <v>1</v>
      </c>
      <c r="D21" s="144">
        <v>146770</v>
      </c>
      <c r="E21" s="144">
        <f t="shared" si="0"/>
        <v>146770</v>
      </c>
      <c r="F21" s="143">
        <v>1</v>
      </c>
      <c r="G21" s="144">
        <v>146770</v>
      </c>
      <c r="H21" s="144">
        <f t="shared" si="1"/>
        <v>146770</v>
      </c>
      <c r="I21" s="143">
        <v>1</v>
      </c>
      <c r="J21" s="144">
        <v>146770</v>
      </c>
      <c r="K21" s="144">
        <f t="shared" si="2"/>
        <v>146770</v>
      </c>
    </row>
    <row r="22" spans="1:11" ht="18" customHeight="1" x14ac:dyDescent="0.25">
      <c r="A22" s="146">
        <v>17</v>
      </c>
      <c r="B22" s="147" t="s">
        <v>257</v>
      </c>
      <c r="C22" s="143">
        <v>1</v>
      </c>
      <c r="D22" s="144">
        <v>146770</v>
      </c>
      <c r="E22" s="144">
        <f t="shared" si="0"/>
        <v>146770</v>
      </c>
      <c r="F22" s="143">
        <v>1</v>
      </c>
      <c r="G22" s="144">
        <v>146770</v>
      </c>
      <c r="H22" s="144">
        <f t="shared" si="1"/>
        <v>146770</v>
      </c>
      <c r="I22" s="143">
        <v>1</v>
      </c>
      <c r="J22" s="144">
        <v>146770</v>
      </c>
      <c r="K22" s="144">
        <f t="shared" si="2"/>
        <v>146770</v>
      </c>
    </row>
    <row r="23" spans="1:11" ht="18" customHeight="1" x14ac:dyDescent="0.25">
      <c r="A23" s="146">
        <v>18</v>
      </c>
      <c r="B23" s="147" t="s">
        <v>258</v>
      </c>
      <c r="C23" s="143">
        <v>1</v>
      </c>
      <c r="D23" s="144">
        <v>146770</v>
      </c>
      <c r="E23" s="144">
        <f t="shared" si="0"/>
        <v>146770</v>
      </c>
      <c r="F23" s="143">
        <v>1</v>
      </c>
      <c r="G23" s="144">
        <v>146770</v>
      </c>
      <c r="H23" s="144">
        <f t="shared" si="1"/>
        <v>146770</v>
      </c>
      <c r="I23" s="143">
        <v>1</v>
      </c>
      <c r="J23" s="144">
        <v>146770</v>
      </c>
      <c r="K23" s="144">
        <f t="shared" si="2"/>
        <v>146770</v>
      </c>
    </row>
    <row r="24" spans="1:11" ht="18" customHeight="1" x14ac:dyDescent="0.25">
      <c r="A24" s="146">
        <v>19</v>
      </c>
      <c r="B24" s="147" t="s">
        <v>259</v>
      </c>
      <c r="C24" s="143">
        <v>1</v>
      </c>
      <c r="D24" s="144">
        <v>146770</v>
      </c>
      <c r="E24" s="144">
        <f t="shared" si="0"/>
        <v>146770</v>
      </c>
      <c r="F24" s="143">
        <v>1</v>
      </c>
      <c r="G24" s="144">
        <v>146770</v>
      </c>
      <c r="H24" s="144">
        <f t="shared" si="1"/>
        <v>146770</v>
      </c>
      <c r="I24" s="143">
        <v>1</v>
      </c>
      <c r="J24" s="144">
        <v>146770</v>
      </c>
      <c r="K24" s="144">
        <f t="shared" si="2"/>
        <v>146770</v>
      </c>
    </row>
    <row r="25" spans="1:11" ht="18" customHeight="1" x14ac:dyDescent="0.25">
      <c r="A25" s="146">
        <v>20</v>
      </c>
      <c r="B25" s="147" t="s">
        <v>260</v>
      </c>
      <c r="C25" s="143">
        <v>1</v>
      </c>
      <c r="D25" s="144">
        <v>146770</v>
      </c>
      <c r="E25" s="144">
        <f t="shared" si="0"/>
        <v>146770</v>
      </c>
      <c r="F25" s="143">
        <v>1</v>
      </c>
      <c r="G25" s="144">
        <v>146770</v>
      </c>
      <c r="H25" s="144">
        <f t="shared" si="1"/>
        <v>146770</v>
      </c>
      <c r="I25" s="143">
        <v>1</v>
      </c>
      <c r="J25" s="144">
        <v>146770</v>
      </c>
      <c r="K25" s="144">
        <f t="shared" si="2"/>
        <v>146770</v>
      </c>
    </row>
    <row r="26" spans="1:11" ht="18" customHeight="1" x14ac:dyDescent="0.25">
      <c r="A26" s="146">
        <v>21</v>
      </c>
      <c r="B26" s="147" t="s">
        <v>261</v>
      </c>
      <c r="C26" s="143">
        <v>1</v>
      </c>
      <c r="D26" s="144">
        <v>146770</v>
      </c>
      <c r="E26" s="144">
        <f t="shared" si="0"/>
        <v>146770</v>
      </c>
      <c r="F26" s="143">
        <v>1</v>
      </c>
      <c r="G26" s="144">
        <v>146770</v>
      </c>
      <c r="H26" s="144">
        <f t="shared" si="1"/>
        <v>146770</v>
      </c>
      <c r="I26" s="143">
        <v>1</v>
      </c>
      <c r="J26" s="144">
        <v>146770</v>
      </c>
      <c r="K26" s="144">
        <f t="shared" si="2"/>
        <v>146770</v>
      </c>
    </row>
    <row r="27" spans="1:11" ht="18" customHeight="1" x14ac:dyDescent="0.25">
      <c r="A27" s="146">
        <v>22</v>
      </c>
      <c r="B27" s="147" t="s">
        <v>262</v>
      </c>
      <c r="C27" s="143">
        <v>1</v>
      </c>
      <c r="D27" s="144">
        <v>146770</v>
      </c>
      <c r="E27" s="144">
        <f t="shared" si="0"/>
        <v>146770</v>
      </c>
      <c r="F27" s="143">
        <v>1</v>
      </c>
      <c r="G27" s="144">
        <v>146770</v>
      </c>
      <c r="H27" s="144">
        <f t="shared" si="1"/>
        <v>146770</v>
      </c>
      <c r="I27" s="143">
        <v>1</v>
      </c>
      <c r="J27" s="144">
        <v>146770</v>
      </c>
      <c r="K27" s="144">
        <f t="shared" si="2"/>
        <v>146770</v>
      </c>
    </row>
    <row r="28" spans="1:11" ht="18" customHeight="1" x14ac:dyDescent="0.25">
      <c r="A28" s="146">
        <v>23</v>
      </c>
      <c r="B28" s="147" t="s">
        <v>263</v>
      </c>
      <c r="C28" s="143">
        <v>1</v>
      </c>
      <c r="D28" s="144">
        <v>146770</v>
      </c>
      <c r="E28" s="144">
        <f t="shared" si="0"/>
        <v>146770</v>
      </c>
      <c r="F28" s="143">
        <v>1</v>
      </c>
      <c r="G28" s="144">
        <v>146770</v>
      </c>
      <c r="H28" s="144">
        <f t="shared" si="1"/>
        <v>146770</v>
      </c>
      <c r="I28" s="143">
        <v>1</v>
      </c>
      <c r="J28" s="144">
        <v>146770</v>
      </c>
      <c r="K28" s="144">
        <f t="shared" si="2"/>
        <v>146770</v>
      </c>
    </row>
    <row r="29" spans="1:11" ht="18" customHeight="1" x14ac:dyDescent="0.25">
      <c r="A29" s="146">
        <v>24</v>
      </c>
      <c r="B29" s="147" t="s">
        <v>264</v>
      </c>
      <c r="C29" s="143">
        <v>1</v>
      </c>
      <c r="D29" s="144">
        <v>146770</v>
      </c>
      <c r="E29" s="144">
        <f t="shared" si="0"/>
        <v>146770</v>
      </c>
      <c r="F29" s="143">
        <v>1</v>
      </c>
      <c r="G29" s="144">
        <v>146770</v>
      </c>
      <c r="H29" s="144">
        <f t="shared" si="1"/>
        <v>146770</v>
      </c>
      <c r="I29" s="143">
        <v>1</v>
      </c>
      <c r="J29" s="144">
        <v>146770</v>
      </c>
      <c r="K29" s="144">
        <f t="shared" si="2"/>
        <v>146770</v>
      </c>
    </row>
    <row r="30" spans="1:11" ht="18" customHeight="1" x14ac:dyDescent="0.25">
      <c r="A30" s="146">
        <v>25</v>
      </c>
      <c r="B30" s="147" t="s">
        <v>265</v>
      </c>
      <c r="C30" s="143">
        <v>1</v>
      </c>
      <c r="D30" s="144">
        <v>146770</v>
      </c>
      <c r="E30" s="144">
        <f t="shared" si="0"/>
        <v>146770</v>
      </c>
      <c r="F30" s="143">
        <v>1</v>
      </c>
      <c r="G30" s="144">
        <v>146770</v>
      </c>
      <c r="H30" s="144">
        <f t="shared" si="1"/>
        <v>146770</v>
      </c>
      <c r="I30" s="143">
        <v>1</v>
      </c>
      <c r="J30" s="144">
        <v>146770</v>
      </c>
      <c r="K30" s="144">
        <f t="shared" si="2"/>
        <v>146770</v>
      </c>
    </row>
    <row r="31" spans="1:11" ht="18" customHeight="1" x14ac:dyDescent="0.25">
      <c r="A31" s="146">
        <v>26</v>
      </c>
      <c r="B31" s="147" t="s">
        <v>266</v>
      </c>
      <c r="C31" s="143">
        <v>1</v>
      </c>
      <c r="D31" s="144">
        <v>146770</v>
      </c>
      <c r="E31" s="144">
        <f t="shared" si="0"/>
        <v>146770</v>
      </c>
      <c r="F31" s="143">
        <v>1</v>
      </c>
      <c r="G31" s="144">
        <v>146770</v>
      </c>
      <c r="H31" s="144">
        <f t="shared" si="1"/>
        <v>146770</v>
      </c>
      <c r="I31" s="143">
        <v>1</v>
      </c>
      <c r="J31" s="144">
        <v>146770</v>
      </c>
      <c r="K31" s="144">
        <f t="shared" si="2"/>
        <v>146770</v>
      </c>
    </row>
    <row r="32" spans="1:11" ht="18" customHeight="1" x14ac:dyDescent="0.25">
      <c r="A32" s="146">
        <v>27</v>
      </c>
      <c r="B32" s="147" t="s">
        <v>267</v>
      </c>
      <c r="C32" s="143">
        <v>1</v>
      </c>
      <c r="D32" s="144">
        <v>146770</v>
      </c>
      <c r="E32" s="144">
        <f t="shared" si="0"/>
        <v>146770</v>
      </c>
      <c r="F32" s="143">
        <v>1</v>
      </c>
      <c r="G32" s="144">
        <v>146770</v>
      </c>
      <c r="H32" s="144">
        <f t="shared" si="1"/>
        <v>146770</v>
      </c>
      <c r="I32" s="143">
        <v>1</v>
      </c>
      <c r="J32" s="144">
        <v>146770</v>
      </c>
      <c r="K32" s="144">
        <f t="shared" si="2"/>
        <v>146770</v>
      </c>
    </row>
    <row r="33" spans="1:11" ht="18" customHeight="1" x14ac:dyDescent="0.25">
      <c r="A33" s="146">
        <v>28</v>
      </c>
      <c r="B33" s="147" t="s">
        <v>268</v>
      </c>
      <c r="C33" s="143">
        <v>1</v>
      </c>
      <c r="D33" s="144">
        <v>146770</v>
      </c>
      <c r="E33" s="144">
        <f t="shared" si="0"/>
        <v>146770</v>
      </c>
      <c r="F33" s="143">
        <v>1</v>
      </c>
      <c r="G33" s="144">
        <v>146770</v>
      </c>
      <c r="H33" s="144">
        <f t="shared" si="1"/>
        <v>146770</v>
      </c>
      <c r="I33" s="143">
        <v>1</v>
      </c>
      <c r="J33" s="144">
        <v>146770</v>
      </c>
      <c r="K33" s="144">
        <f t="shared" si="2"/>
        <v>146770</v>
      </c>
    </row>
    <row r="34" spans="1:11" ht="18" customHeight="1" x14ac:dyDescent="0.25">
      <c r="A34" s="146">
        <v>29</v>
      </c>
      <c r="B34" s="147" t="s">
        <v>269</v>
      </c>
      <c r="C34" s="143">
        <v>1</v>
      </c>
      <c r="D34" s="144">
        <v>146770</v>
      </c>
      <c r="E34" s="144">
        <f t="shared" si="0"/>
        <v>146770</v>
      </c>
      <c r="F34" s="143">
        <v>1</v>
      </c>
      <c r="G34" s="144">
        <v>146770</v>
      </c>
      <c r="H34" s="144">
        <f t="shared" si="1"/>
        <v>146770</v>
      </c>
      <c r="I34" s="143">
        <v>1</v>
      </c>
      <c r="J34" s="144">
        <v>146770</v>
      </c>
      <c r="K34" s="144">
        <f t="shared" si="2"/>
        <v>146770</v>
      </c>
    </row>
    <row r="35" spans="1:11" ht="18" customHeight="1" x14ac:dyDescent="0.25">
      <c r="A35" s="146">
        <v>30</v>
      </c>
      <c r="B35" s="147" t="s">
        <v>270</v>
      </c>
      <c r="C35" s="143">
        <v>1</v>
      </c>
      <c r="D35" s="144">
        <v>146770</v>
      </c>
      <c r="E35" s="144">
        <f t="shared" si="0"/>
        <v>146770</v>
      </c>
      <c r="F35" s="143">
        <v>1</v>
      </c>
      <c r="G35" s="144">
        <v>146770</v>
      </c>
      <c r="H35" s="144">
        <f t="shared" si="1"/>
        <v>146770</v>
      </c>
      <c r="I35" s="143">
        <v>1</v>
      </c>
      <c r="J35" s="144">
        <v>146770</v>
      </c>
      <c r="K35" s="144">
        <f t="shared" si="2"/>
        <v>146770</v>
      </c>
    </row>
    <row r="36" spans="1:11" ht="18" customHeight="1" x14ac:dyDescent="0.25">
      <c r="A36" s="146">
        <v>31</v>
      </c>
      <c r="B36" s="147" t="s">
        <v>271</v>
      </c>
      <c r="C36" s="143">
        <v>1</v>
      </c>
      <c r="D36" s="144">
        <v>146770</v>
      </c>
      <c r="E36" s="144">
        <f t="shared" si="0"/>
        <v>146770</v>
      </c>
      <c r="F36" s="143">
        <v>1</v>
      </c>
      <c r="G36" s="144">
        <v>146770</v>
      </c>
      <c r="H36" s="144">
        <f t="shared" si="1"/>
        <v>146770</v>
      </c>
      <c r="I36" s="143">
        <v>1</v>
      </c>
      <c r="J36" s="144">
        <v>146770</v>
      </c>
      <c r="K36" s="144">
        <f t="shared" si="2"/>
        <v>146770</v>
      </c>
    </row>
    <row r="37" spans="1:11" ht="18" customHeight="1" x14ac:dyDescent="0.25">
      <c r="A37" s="146">
        <v>32</v>
      </c>
      <c r="B37" s="147" t="s">
        <v>272</v>
      </c>
      <c r="C37" s="143">
        <v>1</v>
      </c>
      <c r="D37" s="144">
        <v>146770</v>
      </c>
      <c r="E37" s="144">
        <f t="shared" si="0"/>
        <v>146770</v>
      </c>
      <c r="F37" s="143">
        <v>1</v>
      </c>
      <c r="G37" s="144">
        <v>146770</v>
      </c>
      <c r="H37" s="144">
        <f t="shared" si="1"/>
        <v>146770</v>
      </c>
      <c r="I37" s="143">
        <v>1</v>
      </c>
      <c r="J37" s="144">
        <v>146770</v>
      </c>
      <c r="K37" s="144">
        <f t="shared" si="2"/>
        <v>146770</v>
      </c>
    </row>
    <row r="38" spans="1:11" ht="18" customHeight="1" x14ac:dyDescent="0.25">
      <c r="A38" s="146">
        <v>33</v>
      </c>
      <c r="B38" s="147" t="s">
        <v>273</v>
      </c>
      <c r="C38" s="143">
        <v>1</v>
      </c>
      <c r="D38" s="144">
        <v>146770</v>
      </c>
      <c r="E38" s="144">
        <f t="shared" si="0"/>
        <v>146770</v>
      </c>
      <c r="F38" s="143">
        <v>1</v>
      </c>
      <c r="G38" s="144">
        <v>146770</v>
      </c>
      <c r="H38" s="144">
        <f t="shared" si="1"/>
        <v>146770</v>
      </c>
      <c r="I38" s="143">
        <v>1</v>
      </c>
      <c r="J38" s="144">
        <v>146770</v>
      </c>
      <c r="K38" s="144">
        <f t="shared" si="2"/>
        <v>146770</v>
      </c>
    </row>
    <row r="39" spans="1:11" ht="18" customHeight="1" x14ac:dyDescent="0.25">
      <c r="A39" s="146">
        <v>34</v>
      </c>
      <c r="B39" s="147" t="s">
        <v>274</v>
      </c>
      <c r="C39" s="143">
        <v>1</v>
      </c>
      <c r="D39" s="144">
        <v>146770</v>
      </c>
      <c r="E39" s="144">
        <f t="shared" si="0"/>
        <v>146770</v>
      </c>
      <c r="F39" s="143">
        <v>1</v>
      </c>
      <c r="G39" s="144">
        <v>146770</v>
      </c>
      <c r="H39" s="144">
        <f t="shared" si="1"/>
        <v>146770</v>
      </c>
      <c r="I39" s="143">
        <v>1</v>
      </c>
      <c r="J39" s="144">
        <v>146770</v>
      </c>
      <c r="K39" s="144">
        <f t="shared" si="2"/>
        <v>146770</v>
      </c>
    </row>
    <row r="40" spans="1:11" ht="18" customHeight="1" x14ac:dyDescent="0.25">
      <c r="A40" s="146">
        <v>35</v>
      </c>
      <c r="B40" s="147" t="s">
        <v>275</v>
      </c>
      <c r="C40" s="143">
        <v>1</v>
      </c>
      <c r="D40" s="144">
        <v>146770</v>
      </c>
      <c r="E40" s="144">
        <f t="shared" si="0"/>
        <v>146770</v>
      </c>
      <c r="F40" s="143">
        <v>1</v>
      </c>
      <c r="G40" s="144">
        <v>146770</v>
      </c>
      <c r="H40" s="144">
        <f t="shared" si="1"/>
        <v>146770</v>
      </c>
      <c r="I40" s="143">
        <v>1</v>
      </c>
      <c r="J40" s="144">
        <v>146770</v>
      </c>
      <c r="K40" s="144">
        <f t="shared" si="2"/>
        <v>146770</v>
      </c>
    </row>
    <row r="41" spans="1:11" ht="18" customHeight="1" x14ac:dyDescent="0.25">
      <c r="A41" s="146">
        <v>36</v>
      </c>
      <c r="B41" s="147" t="s">
        <v>276</v>
      </c>
      <c r="C41" s="143">
        <v>1</v>
      </c>
      <c r="D41" s="144">
        <v>146770</v>
      </c>
      <c r="E41" s="144">
        <f t="shared" si="0"/>
        <v>146770</v>
      </c>
      <c r="F41" s="143">
        <v>1</v>
      </c>
      <c r="G41" s="144">
        <v>146770</v>
      </c>
      <c r="H41" s="144">
        <f t="shared" si="1"/>
        <v>146770</v>
      </c>
      <c r="I41" s="143">
        <v>1</v>
      </c>
      <c r="J41" s="144">
        <v>146770</v>
      </c>
      <c r="K41" s="144">
        <f t="shared" si="2"/>
        <v>146770</v>
      </c>
    </row>
    <row r="42" spans="1:11" ht="18" customHeight="1" x14ac:dyDescent="0.25">
      <c r="A42" s="146">
        <v>37</v>
      </c>
      <c r="B42" s="147" t="s">
        <v>277</v>
      </c>
      <c r="C42" s="143">
        <v>1</v>
      </c>
      <c r="D42" s="144">
        <v>146770</v>
      </c>
      <c r="E42" s="144">
        <f t="shared" si="0"/>
        <v>146770</v>
      </c>
      <c r="F42" s="143">
        <v>1</v>
      </c>
      <c r="G42" s="144">
        <v>146770</v>
      </c>
      <c r="H42" s="144">
        <f t="shared" si="1"/>
        <v>146770</v>
      </c>
      <c r="I42" s="143">
        <v>1</v>
      </c>
      <c r="J42" s="144">
        <v>146770</v>
      </c>
      <c r="K42" s="144">
        <f t="shared" si="2"/>
        <v>146770</v>
      </c>
    </row>
    <row r="43" spans="1:11" ht="18" customHeight="1" x14ac:dyDescent="0.25">
      <c r="A43" s="146">
        <v>38</v>
      </c>
      <c r="B43" s="147" t="s">
        <v>278</v>
      </c>
      <c r="C43" s="143">
        <v>1</v>
      </c>
      <c r="D43" s="144">
        <v>146770</v>
      </c>
      <c r="E43" s="144">
        <f t="shared" si="0"/>
        <v>146770</v>
      </c>
      <c r="F43" s="143">
        <v>1</v>
      </c>
      <c r="G43" s="144">
        <v>146770</v>
      </c>
      <c r="H43" s="144">
        <f t="shared" si="1"/>
        <v>146770</v>
      </c>
      <c r="I43" s="143">
        <v>1</v>
      </c>
      <c r="J43" s="144">
        <v>146770</v>
      </c>
      <c r="K43" s="144">
        <f t="shared" si="2"/>
        <v>146770</v>
      </c>
    </row>
    <row r="44" spans="1:11" ht="18" customHeight="1" x14ac:dyDescent="0.25">
      <c r="A44" s="146">
        <v>39</v>
      </c>
      <c r="B44" s="147" t="s">
        <v>279</v>
      </c>
      <c r="C44" s="143">
        <v>1</v>
      </c>
      <c r="D44" s="144">
        <v>146770</v>
      </c>
      <c r="E44" s="144">
        <v>126526</v>
      </c>
      <c r="F44" s="143">
        <v>1</v>
      </c>
      <c r="G44" s="144">
        <v>146770</v>
      </c>
      <c r="H44" s="144">
        <f t="shared" si="1"/>
        <v>146770</v>
      </c>
      <c r="I44" s="143">
        <v>1</v>
      </c>
      <c r="J44" s="144">
        <v>146770</v>
      </c>
      <c r="K44" s="144">
        <f t="shared" si="2"/>
        <v>146770</v>
      </c>
    </row>
    <row r="45" spans="1:11" ht="18" customHeight="1" x14ac:dyDescent="0.25">
      <c r="A45" s="146">
        <v>40</v>
      </c>
      <c r="B45" s="147" t="s">
        <v>280</v>
      </c>
      <c r="C45" s="143"/>
      <c r="D45" s="144"/>
      <c r="E45" s="144">
        <v>126526</v>
      </c>
      <c r="F45" s="143"/>
      <c r="G45" s="144"/>
      <c r="H45" s="144">
        <f t="shared" si="1"/>
        <v>0</v>
      </c>
      <c r="I45" s="143"/>
      <c r="J45" s="144"/>
      <c r="K45" s="144">
        <f t="shared" si="2"/>
        <v>0</v>
      </c>
    </row>
    <row r="46" spans="1:11" ht="18" customHeight="1" x14ac:dyDescent="0.25">
      <c r="A46" s="148"/>
      <c r="B46" s="149" t="s">
        <v>281</v>
      </c>
      <c r="C46" s="150">
        <f>SUM(C6:C45)</f>
        <v>39</v>
      </c>
      <c r="D46" s="150"/>
      <c r="E46" s="150">
        <f>SUM(E6:E45)</f>
        <v>5830312</v>
      </c>
      <c r="F46" s="150">
        <f>SUM(F6:F45)</f>
        <v>39</v>
      </c>
      <c r="G46" s="151"/>
      <c r="H46" s="150">
        <f>SUM(H6:H45)</f>
        <v>5724030</v>
      </c>
      <c r="I46" s="150">
        <v>50</v>
      </c>
      <c r="J46" s="151"/>
      <c r="K46" s="150">
        <f>SUM(K6:K45)</f>
        <v>5724030</v>
      </c>
    </row>
    <row r="47" spans="1:11" ht="18" customHeight="1" x14ac:dyDescent="0.25">
      <c r="A47" s="191"/>
      <c r="B47" s="191"/>
      <c r="C47" s="191"/>
      <c r="D47" s="191"/>
      <c r="E47" s="191"/>
      <c r="F47" s="191"/>
      <c r="G47" s="191"/>
      <c r="H47" s="191"/>
      <c r="I47" s="867" t="s">
        <v>284</v>
      </c>
      <c r="J47" s="867"/>
      <c r="K47" s="150">
        <f>+E46+H46+K46</f>
        <v>17278372</v>
      </c>
    </row>
    <row r="48" spans="1:11" ht="18" customHeight="1" x14ac:dyDescent="0.25">
      <c r="A48" s="191"/>
      <c r="B48" s="191"/>
      <c r="C48" s="191"/>
      <c r="D48" s="191"/>
      <c r="E48" s="191"/>
      <c r="F48" s="191"/>
      <c r="G48" s="191"/>
      <c r="H48" s="191"/>
      <c r="I48" s="867" t="s">
        <v>282</v>
      </c>
      <c r="J48" s="867"/>
      <c r="K48" s="192">
        <f>K47*0.16</f>
        <v>2764539.52</v>
      </c>
    </row>
    <row r="49" spans="1:11" ht="18" customHeight="1" x14ac:dyDescent="0.25">
      <c r="A49" s="191"/>
      <c r="B49" s="191"/>
      <c r="C49" s="191"/>
      <c r="D49" s="191"/>
      <c r="E49" s="191"/>
      <c r="F49" s="191"/>
      <c r="G49" s="191"/>
      <c r="H49" s="191"/>
      <c r="I49" s="867" t="s">
        <v>161</v>
      </c>
      <c r="J49" s="867"/>
      <c r="K49" s="192">
        <f>SUM(K47:K48)</f>
        <v>20042911.52</v>
      </c>
    </row>
  </sheetData>
  <mergeCells count="11">
    <mergeCell ref="I48:J48"/>
    <mergeCell ref="I49:J49"/>
    <mergeCell ref="A1:K1"/>
    <mergeCell ref="A2:K2"/>
    <mergeCell ref="A3:A5"/>
    <mergeCell ref="B3:B5"/>
    <mergeCell ref="C3:K3"/>
    <mergeCell ref="C4:E4"/>
    <mergeCell ref="F4:H4"/>
    <mergeCell ref="I4:K4"/>
    <mergeCell ref="I47:J47"/>
  </mergeCells>
  <printOptions horizontalCentered="1"/>
  <pageMargins left="0.7" right="0.7" top="0.75" bottom="0.75" header="0.3" footer="0.3"/>
  <pageSetup paperSize="5" scale="70" orientation="portrait" r:id="rId1"/>
  <headerFooter>
    <oddFooter>&amp;C14</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1"/>
  <dimension ref="B3:G33"/>
  <sheetViews>
    <sheetView view="pageLayout" workbookViewId="0">
      <selection activeCell="B3" sqref="B3:G33"/>
    </sheetView>
  </sheetViews>
  <sheetFormatPr baseColWidth="10" defaultRowHeight="15" x14ac:dyDescent="0.25"/>
  <cols>
    <col min="1" max="1" width="11.42578125" style="145"/>
    <col min="2" max="2" width="6" style="163" bestFit="1" customWidth="1"/>
    <col min="3" max="3" width="32.28515625" style="145" customWidth="1"/>
    <col min="4" max="4" width="17.28515625" style="163" customWidth="1"/>
    <col min="5" max="5" width="7.7109375" style="145" customWidth="1"/>
    <col min="6" max="6" width="11.5703125" style="145" bestFit="1" customWidth="1"/>
    <col min="7" max="7" width="12.5703125" style="145" bestFit="1" customWidth="1"/>
    <col min="8" max="16384" width="11.42578125" style="145"/>
  </cols>
  <sheetData>
    <row r="3" spans="2:7" ht="19.7" customHeight="1" x14ac:dyDescent="0.25">
      <c r="B3" s="944" t="s">
        <v>1433</v>
      </c>
      <c r="C3" s="944"/>
      <c r="D3" s="944"/>
      <c r="E3" s="944"/>
      <c r="F3" s="944"/>
      <c r="G3" s="944"/>
    </row>
    <row r="4" spans="2:7" ht="19.7" customHeight="1" x14ac:dyDescent="0.25">
      <c r="B4" s="758" t="s">
        <v>299</v>
      </c>
      <c r="C4" s="758" t="s">
        <v>374</v>
      </c>
      <c r="D4" s="758" t="s">
        <v>714</v>
      </c>
      <c r="E4" s="758" t="s">
        <v>162</v>
      </c>
      <c r="F4" s="758" t="s">
        <v>285</v>
      </c>
      <c r="G4" s="758" t="s">
        <v>164</v>
      </c>
    </row>
    <row r="5" spans="2:7" ht="19.7" customHeight="1" x14ac:dyDescent="0.25">
      <c r="B5" s="230">
        <v>1</v>
      </c>
      <c r="C5" s="692" t="s">
        <v>1949</v>
      </c>
      <c r="D5" s="244" t="s">
        <v>1950</v>
      </c>
      <c r="E5" s="244">
        <v>600</v>
      </c>
      <c r="F5" s="255">
        <v>14302</v>
      </c>
      <c r="G5" s="255">
        <f>+F5*E5</f>
        <v>8581200</v>
      </c>
    </row>
    <row r="6" spans="2:7" ht="19.7" customHeight="1" x14ac:dyDescent="0.25">
      <c r="B6" s="230">
        <v>2</v>
      </c>
      <c r="C6" s="692" t="s">
        <v>1020</v>
      </c>
      <c r="D6" s="244" t="s">
        <v>1950</v>
      </c>
      <c r="E6" s="244">
        <v>300</v>
      </c>
      <c r="F6" s="255">
        <v>14302</v>
      </c>
      <c r="G6" s="255">
        <f t="shared" ref="G6:G29" si="0">+F6*E6</f>
        <v>4290600</v>
      </c>
    </row>
    <row r="7" spans="2:7" ht="19.7" customHeight="1" x14ac:dyDescent="0.25">
      <c r="B7" s="230">
        <v>3</v>
      </c>
      <c r="C7" s="692" t="s">
        <v>1951</v>
      </c>
      <c r="D7" s="244" t="s">
        <v>1952</v>
      </c>
      <c r="E7" s="244">
        <v>50000</v>
      </c>
      <c r="F7" s="255">
        <v>145</v>
      </c>
      <c r="G7" s="255">
        <f t="shared" si="0"/>
        <v>7250000</v>
      </c>
    </row>
    <row r="8" spans="2:7" ht="19.7" customHeight="1" x14ac:dyDescent="0.25">
      <c r="B8" s="230">
        <v>4</v>
      </c>
      <c r="C8" s="692" t="s">
        <v>1953</v>
      </c>
      <c r="D8" s="244" t="s">
        <v>1952</v>
      </c>
      <c r="E8" s="244">
        <v>2000</v>
      </c>
      <c r="F8" s="255">
        <v>1940</v>
      </c>
      <c r="G8" s="255">
        <f t="shared" si="0"/>
        <v>3880000</v>
      </c>
    </row>
    <row r="9" spans="2:7" ht="19.7" customHeight="1" x14ac:dyDescent="0.25">
      <c r="B9" s="230">
        <v>5</v>
      </c>
      <c r="C9" s="692" t="s">
        <v>1954</v>
      </c>
      <c r="D9" s="244" t="s">
        <v>1955</v>
      </c>
      <c r="E9" s="244">
        <v>300</v>
      </c>
      <c r="F9" s="255">
        <v>6800</v>
      </c>
      <c r="G9" s="255">
        <f t="shared" si="0"/>
        <v>2040000</v>
      </c>
    </row>
    <row r="10" spans="2:7" ht="19.7" customHeight="1" x14ac:dyDescent="0.25">
      <c r="B10" s="230">
        <v>6</v>
      </c>
      <c r="C10" s="692" t="s">
        <v>1144</v>
      </c>
      <c r="D10" s="244" t="s">
        <v>1956</v>
      </c>
      <c r="E10" s="244">
        <v>100</v>
      </c>
      <c r="F10" s="255">
        <v>10000</v>
      </c>
      <c r="G10" s="255">
        <f t="shared" si="0"/>
        <v>1000000</v>
      </c>
    </row>
    <row r="11" spans="2:7" ht="19.7" customHeight="1" x14ac:dyDescent="0.25">
      <c r="B11" s="230">
        <v>7</v>
      </c>
      <c r="C11" s="692" t="s">
        <v>1957</v>
      </c>
      <c r="D11" s="244" t="s">
        <v>35</v>
      </c>
      <c r="E11" s="244">
        <v>300</v>
      </c>
      <c r="F11" s="255">
        <v>9210</v>
      </c>
      <c r="G11" s="255">
        <f t="shared" si="0"/>
        <v>2763000</v>
      </c>
    </row>
    <row r="12" spans="2:7" ht="19.7" customHeight="1" x14ac:dyDescent="0.25">
      <c r="B12" s="230">
        <v>8</v>
      </c>
      <c r="C12" s="692" t="s">
        <v>1958</v>
      </c>
      <c r="D12" s="244" t="s">
        <v>1952</v>
      </c>
      <c r="E12" s="244">
        <v>2000</v>
      </c>
      <c r="F12" s="255">
        <v>334</v>
      </c>
      <c r="G12" s="255">
        <f t="shared" si="0"/>
        <v>668000</v>
      </c>
    </row>
    <row r="13" spans="2:7" ht="24" customHeight="1" x14ac:dyDescent="0.25">
      <c r="B13" s="230">
        <v>9</v>
      </c>
      <c r="C13" s="692" t="s">
        <v>1959</v>
      </c>
      <c r="D13" s="244" t="s">
        <v>1952</v>
      </c>
      <c r="E13" s="244">
        <v>1000</v>
      </c>
      <c r="F13" s="255">
        <v>2366</v>
      </c>
      <c r="G13" s="255">
        <f t="shared" si="0"/>
        <v>2366000</v>
      </c>
    </row>
    <row r="14" spans="2:7" ht="27.75" customHeight="1" x14ac:dyDescent="0.25">
      <c r="B14" s="230">
        <v>10</v>
      </c>
      <c r="C14" s="692" t="s">
        <v>1960</v>
      </c>
      <c r="D14" s="244" t="s">
        <v>1952</v>
      </c>
      <c r="E14" s="244">
        <v>3000</v>
      </c>
      <c r="F14" s="255">
        <v>187</v>
      </c>
      <c r="G14" s="255">
        <f t="shared" si="0"/>
        <v>561000</v>
      </c>
    </row>
    <row r="15" spans="2:7" ht="53.25" customHeight="1" x14ac:dyDescent="0.25">
      <c r="B15" s="230">
        <v>11</v>
      </c>
      <c r="C15" s="692" t="s">
        <v>1961</v>
      </c>
      <c r="D15" s="244" t="s">
        <v>825</v>
      </c>
      <c r="E15" s="244">
        <v>12000</v>
      </c>
      <c r="F15" s="255">
        <v>6460</v>
      </c>
      <c r="G15" s="255">
        <f t="shared" si="0"/>
        <v>77520000</v>
      </c>
    </row>
    <row r="16" spans="2:7" ht="32.25" customHeight="1" x14ac:dyDescent="0.25">
      <c r="B16" s="230">
        <v>12</v>
      </c>
      <c r="C16" s="692" t="s">
        <v>1962</v>
      </c>
      <c r="D16" s="244" t="s">
        <v>825</v>
      </c>
      <c r="E16" s="244">
        <v>5000</v>
      </c>
      <c r="F16" s="255">
        <v>6545</v>
      </c>
      <c r="G16" s="255">
        <f t="shared" si="0"/>
        <v>32725000</v>
      </c>
    </row>
    <row r="17" spans="2:7" ht="38.25" customHeight="1" x14ac:dyDescent="0.25">
      <c r="B17" s="230">
        <v>13</v>
      </c>
      <c r="C17" s="692" t="s">
        <v>1963</v>
      </c>
      <c r="D17" s="244" t="s">
        <v>723</v>
      </c>
      <c r="E17" s="244">
        <v>7000</v>
      </c>
      <c r="F17" s="255">
        <v>54</v>
      </c>
      <c r="G17" s="255">
        <f t="shared" si="0"/>
        <v>378000</v>
      </c>
    </row>
    <row r="18" spans="2:7" ht="19.7" customHeight="1" x14ac:dyDescent="0.25">
      <c r="B18" s="230">
        <v>14</v>
      </c>
      <c r="C18" s="692" t="s">
        <v>1964</v>
      </c>
      <c r="D18" s="244" t="s">
        <v>723</v>
      </c>
      <c r="E18" s="244">
        <v>1000</v>
      </c>
      <c r="F18" s="255">
        <v>526</v>
      </c>
      <c r="G18" s="255">
        <f t="shared" si="0"/>
        <v>526000</v>
      </c>
    </row>
    <row r="19" spans="2:7" ht="19.5" customHeight="1" x14ac:dyDescent="0.25">
      <c r="B19" s="230">
        <v>15</v>
      </c>
      <c r="C19" s="692" t="s">
        <v>1965</v>
      </c>
      <c r="D19" s="244" t="s">
        <v>1952</v>
      </c>
      <c r="E19" s="244">
        <v>6000</v>
      </c>
      <c r="F19" s="255">
        <v>414</v>
      </c>
      <c r="G19" s="255">
        <f t="shared" si="0"/>
        <v>2484000</v>
      </c>
    </row>
    <row r="20" spans="2:7" ht="19.7" customHeight="1" x14ac:dyDescent="0.25">
      <c r="B20" s="230">
        <v>16</v>
      </c>
      <c r="C20" s="692" t="s">
        <v>1966</v>
      </c>
      <c r="D20" s="244" t="s">
        <v>1952</v>
      </c>
      <c r="E20" s="244">
        <v>150</v>
      </c>
      <c r="F20" s="255">
        <v>6523</v>
      </c>
      <c r="G20" s="255">
        <f t="shared" si="0"/>
        <v>978450</v>
      </c>
    </row>
    <row r="21" spans="2:7" ht="19.7" customHeight="1" x14ac:dyDescent="0.25">
      <c r="B21" s="230">
        <v>17</v>
      </c>
      <c r="C21" s="280" t="s">
        <v>1967</v>
      </c>
      <c r="D21" s="230" t="s">
        <v>1952</v>
      </c>
      <c r="E21" s="230">
        <v>300</v>
      </c>
      <c r="F21" s="219">
        <v>6523</v>
      </c>
      <c r="G21" s="255">
        <f t="shared" si="0"/>
        <v>1956900</v>
      </c>
    </row>
    <row r="22" spans="2:7" ht="19.7" customHeight="1" x14ac:dyDescent="0.25">
      <c r="B22" s="230">
        <v>18</v>
      </c>
      <c r="C22" s="280" t="s">
        <v>1968</v>
      </c>
      <c r="D22" s="230" t="s">
        <v>723</v>
      </c>
      <c r="E22" s="230">
        <v>300000</v>
      </c>
      <c r="F22" s="219">
        <v>12</v>
      </c>
      <c r="G22" s="255">
        <f t="shared" si="0"/>
        <v>3600000</v>
      </c>
    </row>
    <row r="23" spans="2:7" ht="19.7" customHeight="1" x14ac:dyDescent="0.25">
      <c r="B23" s="230">
        <v>19</v>
      </c>
      <c r="C23" s="280" t="s">
        <v>1969</v>
      </c>
      <c r="D23" s="230" t="s">
        <v>723</v>
      </c>
      <c r="E23" s="230">
        <v>300000</v>
      </c>
      <c r="F23" s="219">
        <v>38</v>
      </c>
      <c r="G23" s="255">
        <f t="shared" si="0"/>
        <v>11400000</v>
      </c>
    </row>
    <row r="24" spans="2:7" ht="19.7" customHeight="1" x14ac:dyDescent="0.25">
      <c r="B24" s="230">
        <v>20</v>
      </c>
      <c r="C24" s="280" t="s">
        <v>1970</v>
      </c>
      <c r="D24" s="230" t="s">
        <v>723</v>
      </c>
      <c r="E24" s="230">
        <v>600000</v>
      </c>
      <c r="F24" s="219">
        <v>37</v>
      </c>
      <c r="G24" s="255">
        <f t="shared" si="0"/>
        <v>22200000</v>
      </c>
    </row>
    <row r="25" spans="2:7" ht="19.7" customHeight="1" x14ac:dyDescent="0.25">
      <c r="B25" s="230">
        <v>21</v>
      </c>
      <c r="C25" s="280" t="s">
        <v>1971</v>
      </c>
      <c r="D25" s="230" t="s">
        <v>1952</v>
      </c>
      <c r="E25" s="230">
        <v>5000</v>
      </c>
      <c r="F25" s="219">
        <v>1955</v>
      </c>
      <c r="G25" s="255">
        <f t="shared" si="0"/>
        <v>9775000</v>
      </c>
    </row>
    <row r="26" spans="2:7" ht="19.7" customHeight="1" x14ac:dyDescent="0.25">
      <c r="B26" s="230">
        <v>22</v>
      </c>
      <c r="C26" s="280" t="s">
        <v>1972</v>
      </c>
      <c r="D26" s="230" t="s">
        <v>1952</v>
      </c>
      <c r="E26" s="230">
        <v>5000</v>
      </c>
      <c r="F26" s="219">
        <v>1955</v>
      </c>
      <c r="G26" s="255">
        <f t="shared" si="0"/>
        <v>9775000</v>
      </c>
    </row>
    <row r="27" spans="2:7" ht="19.7" customHeight="1" x14ac:dyDescent="0.25">
      <c r="B27" s="230">
        <v>23</v>
      </c>
      <c r="C27" s="280" t="s">
        <v>1973</v>
      </c>
      <c r="D27" s="230" t="s">
        <v>1952</v>
      </c>
      <c r="E27" s="230">
        <v>4000</v>
      </c>
      <c r="F27" s="219">
        <v>1955</v>
      </c>
      <c r="G27" s="255">
        <f t="shared" si="0"/>
        <v>7820000</v>
      </c>
    </row>
    <row r="28" spans="2:7" ht="19.7" customHeight="1" x14ac:dyDescent="0.25">
      <c r="B28" s="230">
        <v>24</v>
      </c>
      <c r="C28" s="280" t="s">
        <v>1974</v>
      </c>
      <c r="D28" s="230" t="s">
        <v>1975</v>
      </c>
      <c r="E28" s="230">
        <v>200</v>
      </c>
      <c r="F28" s="219">
        <v>12991</v>
      </c>
      <c r="G28" s="255">
        <f t="shared" si="0"/>
        <v>2598200</v>
      </c>
    </row>
    <row r="29" spans="2:7" ht="19.7" customHeight="1" x14ac:dyDescent="0.25">
      <c r="B29" s="230">
        <v>25</v>
      </c>
      <c r="C29" s="280" t="s">
        <v>1976</v>
      </c>
      <c r="D29" s="230" t="s">
        <v>1977</v>
      </c>
      <c r="E29" s="230">
        <v>80</v>
      </c>
      <c r="F29" s="219">
        <v>11240</v>
      </c>
      <c r="G29" s="255">
        <f t="shared" si="0"/>
        <v>899200</v>
      </c>
    </row>
    <row r="30" spans="2:7" ht="19.7" customHeight="1" x14ac:dyDescent="0.25">
      <c r="C30" s="290"/>
      <c r="D30" s="781"/>
      <c r="E30" s="945" t="s">
        <v>158</v>
      </c>
      <c r="F30" s="947"/>
      <c r="G30" s="224">
        <f>SUM(G5:G29)</f>
        <v>218035550</v>
      </c>
    </row>
    <row r="31" spans="2:7" ht="19.7" customHeight="1" x14ac:dyDescent="0.25">
      <c r="C31" s="291"/>
      <c r="D31" s="782"/>
      <c r="E31" s="945" t="s">
        <v>159</v>
      </c>
      <c r="F31" s="947"/>
      <c r="G31" s="224">
        <f>G30*16%</f>
        <v>34885688</v>
      </c>
    </row>
    <row r="32" spans="2:7" ht="19.7" customHeight="1" x14ac:dyDescent="0.25">
      <c r="C32" s="291"/>
      <c r="D32" s="782"/>
      <c r="E32" s="945" t="s">
        <v>160</v>
      </c>
      <c r="F32" s="947"/>
      <c r="G32" s="224">
        <f>G30+G31</f>
        <v>252921238</v>
      </c>
    </row>
    <row r="33" spans="2:7" ht="19.7" customHeight="1" x14ac:dyDescent="0.25">
      <c r="B33" s="998"/>
      <c r="C33" s="998"/>
      <c r="D33" s="998"/>
      <c r="E33" s="944" t="s">
        <v>161</v>
      </c>
      <c r="F33" s="944"/>
      <c r="G33" s="224">
        <f>G32</f>
        <v>252921238</v>
      </c>
    </row>
  </sheetData>
  <mergeCells count="6">
    <mergeCell ref="B3:G3"/>
    <mergeCell ref="E33:F33"/>
    <mergeCell ref="B33:D33"/>
    <mergeCell ref="E30:F30"/>
    <mergeCell ref="E31:F31"/>
    <mergeCell ref="E32:F32"/>
  </mergeCells>
  <pageMargins left="0.7" right="0.7" top="0.75" bottom="0.75" header="0.3" footer="0.3"/>
  <pageSetup paperSize="5" scale="90"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2"/>
  <dimension ref="A1:J32"/>
  <sheetViews>
    <sheetView tabSelected="1" view="pageLayout" topLeftCell="A22" workbookViewId="0">
      <selection activeCell="H34" sqref="H34"/>
    </sheetView>
  </sheetViews>
  <sheetFormatPr baseColWidth="10" defaultRowHeight="15" x14ac:dyDescent="0.25"/>
  <cols>
    <col min="1" max="2" width="4" customWidth="1"/>
    <col min="4" max="4" width="30.42578125" customWidth="1"/>
  </cols>
  <sheetData>
    <row r="1" spans="1:10" x14ac:dyDescent="0.25">
      <c r="A1" s="1121" t="s">
        <v>538</v>
      </c>
      <c r="B1" s="1121"/>
      <c r="C1" s="1121"/>
      <c r="D1" s="1121"/>
      <c r="E1" s="1121"/>
      <c r="F1" s="1121"/>
      <c r="G1" s="1121"/>
      <c r="H1" s="1121"/>
      <c r="I1" s="838"/>
      <c r="J1" s="838"/>
    </row>
    <row r="2" spans="1:10" x14ac:dyDescent="0.25">
      <c r="A2" s="1121" t="s">
        <v>1427</v>
      </c>
      <c r="B2" s="1121"/>
      <c r="C2" s="1121"/>
      <c r="D2" s="1121"/>
      <c r="E2" s="1121"/>
      <c r="F2" s="1121"/>
      <c r="G2" s="1121"/>
      <c r="H2" s="1121"/>
      <c r="I2" s="838"/>
      <c r="J2" s="838"/>
    </row>
    <row r="3" spans="1:10" ht="36" customHeight="1" x14ac:dyDescent="0.25">
      <c r="A3" s="1122" t="s">
        <v>1365</v>
      </c>
      <c r="B3" s="1122"/>
      <c r="C3" s="1122"/>
      <c r="D3" s="1122"/>
      <c r="E3" s="1122"/>
      <c r="F3" s="1122"/>
      <c r="G3" s="1122"/>
      <c r="H3" s="1122"/>
      <c r="I3" s="838"/>
      <c r="J3" s="838"/>
    </row>
    <row r="4" spans="1:10" x14ac:dyDescent="0.25">
      <c r="A4" s="1119" t="s">
        <v>299</v>
      </c>
      <c r="B4" s="1119"/>
      <c r="C4" s="1120"/>
      <c r="D4" s="1120"/>
      <c r="E4" s="1120"/>
      <c r="F4" s="1120"/>
      <c r="G4" s="1120"/>
      <c r="H4" s="1120"/>
      <c r="I4" s="1102"/>
      <c r="J4" s="838"/>
    </row>
    <row r="5" spans="1:10" x14ac:dyDescent="0.25">
      <c r="A5" s="1119"/>
      <c r="B5" s="1119"/>
      <c r="C5" s="1120" t="s">
        <v>0</v>
      </c>
      <c r="D5" s="1120"/>
      <c r="E5" s="1120" t="s">
        <v>164</v>
      </c>
      <c r="F5" s="1120"/>
      <c r="G5" s="1120"/>
      <c r="H5" s="1120"/>
      <c r="I5" s="1102"/>
      <c r="J5" s="838"/>
    </row>
    <row r="6" spans="1:10" ht="15.75" x14ac:dyDescent="0.25">
      <c r="A6" s="1103">
        <v>1</v>
      </c>
      <c r="B6" s="1103"/>
      <c r="C6" s="1104" t="s">
        <v>1366</v>
      </c>
      <c r="D6" s="1104"/>
      <c r="E6" s="1105">
        <v>1401607159</v>
      </c>
      <c r="F6" s="1105"/>
      <c r="G6" s="1105"/>
      <c r="H6" s="1105"/>
      <c r="I6" s="1102"/>
      <c r="J6" s="838"/>
    </row>
    <row r="7" spans="1:10" ht="15.75" x14ac:dyDescent="0.25">
      <c r="A7" s="1103">
        <v>2</v>
      </c>
      <c r="B7" s="1103"/>
      <c r="C7" s="1104" t="s">
        <v>1367</v>
      </c>
      <c r="D7" s="1104"/>
      <c r="E7" s="1105">
        <v>393269440</v>
      </c>
      <c r="F7" s="1105"/>
      <c r="G7" s="1105"/>
      <c r="H7" s="1105"/>
      <c r="I7" s="1102"/>
      <c r="J7" s="838"/>
    </row>
    <row r="8" spans="1:10" ht="15.75" x14ac:dyDescent="0.25">
      <c r="A8" s="1103">
        <v>3</v>
      </c>
      <c r="B8" s="1103"/>
      <c r="C8" s="1104" t="s">
        <v>1368</v>
      </c>
      <c r="D8" s="1104"/>
      <c r="E8" s="1105">
        <v>448545271</v>
      </c>
      <c r="F8" s="1105"/>
      <c r="G8" s="1105"/>
      <c r="H8" s="1105"/>
      <c r="I8" s="1102"/>
      <c r="J8" s="838"/>
    </row>
    <row r="9" spans="1:10" ht="15" customHeight="1" x14ac:dyDescent="0.25">
      <c r="A9" s="1103">
        <v>4</v>
      </c>
      <c r="B9" s="1103"/>
      <c r="C9" s="1104" t="s">
        <v>1391</v>
      </c>
      <c r="D9" s="1104"/>
      <c r="E9" s="1105">
        <v>193084613</v>
      </c>
      <c r="F9" s="1105"/>
      <c r="G9" s="1105"/>
      <c r="H9" s="1105"/>
      <c r="I9" s="1102"/>
      <c r="J9" s="838"/>
    </row>
    <row r="10" spans="1:10" ht="15.75" x14ac:dyDescent="0.25">
      <c r="A10" s="1103">
        <v>5</v>
      </c>
      <c r="B10" s="1103"/>
      <c r="C10" s="1104" t="s">
        <v>1369</v>
      </c>
      <c r="D10" s="1104"/>
      <c r="E10" s="1105">
        <v>42684393</v>
      </c>
      <c r="F10" s="1105"/>
      <c r="G10" s="1105"/>
      <c r="H10" s="1105"/>
      <c r="I10" s="1102"/>
      <c r="J10" s="838"/>
    </row>
    <row r="11" spans="1:10" ht="15.75" x14ac:dyDescent="0.25">
      <c r="A11" s="1103">
        <v>6</v>
      </c>
      <c r="B11" s="1103"/>
      <c r="C11" s="1104" t="s">
        <v>1370</v>
      </c>
      <c r="D11" s="1104"/>
      <c r="E11" s="1105">
        <v>1034992519</v>
      </c>
      <c r="F11" s="1105"/>
      <c r="G11" s="1105"/>
      <c r="H11" s="1105"/>
      <c r="I11" s="1102"/>
      <c r="J11" s="838"/>
    </row>
    <row r="12" spans="1:10" s="75" customFormat="1" ht="15.75" x14ac:dyDescent="0.25">
      <c r="A12" s="78"/>
      <c r="B12" s="78"/>
      <c r="C12" s="1114" t="s">
        <v>1392</v>
      </c>
      <c r="D12" s="1115"/>
      <c r="E12" s="1116">
        <v>953841194</v>
      </c>
      <c r="F12" s="1117"/>
      <c r="G12" s="1117"/>
      <c r="H12" s="1118"/>
      <c r="I12" s="76"/>
      <c r="J12" s="77"/>
    </row>
    <row r="13" spans="1:10" ht="15.75" x14ac:dyDescent="0.25">
      <c r="A13" s="1103">
        <v>7</v>
      </c>
      <c r="B13" s="1103"/>
      <c r="C13" s="1104" t="s">
        <v>1371</v>
      </c>
      <c r="D13" s="1104"/>
      <c r="E13" s="1105">
        <v>2266028</v>
      </c>
      <c r="F13" s="1105"/>
      <c r="G13" s="1105"/>
      <c r="H13" s="1105"/>
      <c r="I13" s="1102"/>
      <c r="J13" s="838"/>
    </row>
    <row r="14" spans="1:10" ht="15.75" x14ac:dyDescent="0.25">
      <c r="A14" s="1103">
        <v>8</v>
      </c>
      <c r="B14" s="1103"/>
      <c r="C14" s="1104" t="s">
        <v>1372</v>
      </c>
      <c r="D14" s="1104"/>
      <c r="E14" s="1105">
        <v>147992953</v>
      </c>
      <c r="F14" s="1105"/>
      <c r="G14" s="1105"/>
      <c r="H14" s="1105"/>
      <c r="I14" s="1102"/>
      <c r="J14" s="838"/>
    </row>
    <row r="15" spans="1:10" ht="15.75" x14ac:dyDescent="0.25">
      <c r="A15" s="1103">
        <v>9</v>
      </c>
      <c r="B15" s="1103"/>
      <c r="C15" s="1104" t="s">
        <v>1373</v>
      </c>
      <c r="D15" s="1104"/>
      <c r="E15" s="1105">
        <v>295628600</v>
      </c>
      <c r="F15" s="1105"/>
      <c r="G15" s="1105"/>
      <c r="H15" s="1105"/>
      <c r="I15" s="1102"/>
      <c r="J15" s="838"/>
    </row>
    <row r="16" spans="1:10" ht="51.75" customHeight="1" x14ac:dyDescent="0.25">
      <c r="A16" s="1103">
        <v>10</v>
      </c>
      <c r="B16" s="1103"/>
      <c r="C16" s="1104" t="s">
        <v>1374</v>
      </c>
      <c r="D16" s="1104"/>
      <c r="E16" s="1105">
        <v>1231445878</v>
      </c>
      <c r="F16" s="1105"/>
      <c r="G16" s="1105"/>
      <c r="H16" s="1105"/>
      <c r="I16" s="1102"/>
      <c r="J16" s="838"/>
    </row>
    <row r="17" spans="1:10" ht="15.75" x14ac:dyDescent="0.25">
      <c r="A17" s="1103">
        <v>11</v>
      </c>
      <c r="B17" s="1103"/>
      <c r="C17" s="1104" t="s">
        <v>1375</v>
      </c>
      <c r="D17" s="1104"/>
      <c r="E17" s="1105">
        <v>570000000</v>
      </c>
      <c r="F17" s="1105"/>
      <c r="G17" s="1105"/>
      <c r="H17" s="1105"/>
      <c r="I17" s="1102"/>
      <c r="J17" s="838"/>
    </row>
    <row r="18" spans="1:10" ht="15.75" x14ac:dyDescent="0.25">
      <c r="A18" s="1103">
        <v>12</v>
      </c>
      <c r="B18" s="1103"/>
      <c r="C18" s="1104" t="s">
        <v>1376</v>
      </c>
      <c r="D18" s="1104"/>
      <c r="E18" s="1105">
        <v>197518517</v>
      </c>
      <c r="F18" s="1105"/>
      <c r="G18" s="1105"/>
      <c r="H18" s="1105"/>
      <c r="I18" s="1102"/>
      <c r="J18" s="838"/>
    </row>
    <row r="19" spans="1:10" ht="15.75" x14ac:dyDescent="0.25">
      <c r="A19" s="1103">
        <v>13</v>
      </c>
      <c r="B19" s="1103"/>
      <c r="C19" s="1104" t="s">
        <v>1377</v>
      </c>
      <c r="D19" s="1104"/>
      <c r="E19" s="1105">
        <v>110451817</v>
      </c>
      <c r="F19" s="1105"/>
      <c r="G19" s="1105"/>
      <c r="H19" s="1105"/>
      <c r="I19" s="1102"/>
      <c r="J19" s="838"/>
    </row>
    <row r="20" spans="1:10" ht="15.75" x14ac:dyDescent="0.25">
      <c r="A20" s="1103">
        <v>14</v>
      </c>
      <c r="B20" s="1103"/>
      <c r="C20" s="1104" t="s">
        <v>1378</v>
      </c>
      <c r="D20" s="1104"/>
      <c r="E20" s="1105">
        <v>90851084</v>
      </c>
      <c r="F20" s="1105"/>
      <c r="G20" s="1105"/>
      <c r="H20" s="1105"/>
      <c r="I20" s="1102"/>
      <c r="J20" s="838"/>
    </row>
    <row r="21" spans="1:10" ht="15.75" x14ac:dyDescent="0.25">
      <c r="A21" s="1103">
        <v>16</v>
      </c>
      <c r="B21" s="1103"/>
      <c r="C21" s="1112" t="s">
        <v>1379</v>
      </c>
      <c r="D21" s="1112"/>
      <c r="E21" s="1105">
        <v>302545803</v>
      </c>
      <c r="F21" s="1105"/>
      <c r="G21" s="1105"/>
      <c r="H21" s="1105"/>
      <c r="I21" s="1102"/>
      <c r="J21" s="838"/>
    </row>
    <row r="22" spans="1:10" ht="15.75" x14ac:dyDescent="0.25">
      <c r="A22" s="1103">
        <v>17</v>
      </c>
      <c r="B22" s="1103"/>
      <c r="C22" s="1104" t="s">
        <v>1380</v>
      </c>
      <c r="D22" s="1104"/>
      <c r="E22" s="1105">
        <v>8794970754</v>
      </c>
      <c r="F22" s="1105"/>
      <c r="G22" s="1105"/>
      <c r="H22" s="1105"/>
      <c r="I22" s="1102"/>
      <c r="J22" s="838"/>
    </row>
    <row r="23" spans="1:10" ht="15.75" x14ac:dyDescent="0.25">
      <c r="A23" s="1103">
        <v>18</v>
      </c>
      <c r="B23" s="1103"/>
      <c r="C23" s="1112" t="s">
        <v>1381</v>
      </c>
      <c r="D23" s="1112"/>
      <c r="E23" s="1113">
        <v>101380230</v>
      </c>
      <c r="F23" s="1113"/>
      <c r="G23" s="1113"/>
      <c r="H23" s="1113"/>
      <c r="I23" s="1102"/>
      <c r="J23" s="838"/>
    </row>
    <row r="24" spans="1:10" ht="31.5" customHeight="1" x14ac:dyDescent="0.25">
      <c r="A24" s="1103">
        <v>19</v>
      </c>
      <c r="B24" s="1103"/>
      <c r="C24" s="1112" t="s">
        <v>1382</v>
      </c>
      <c r="D24" s="1112"/>
      <c r="E24" s="1113">
        <v>706568465</v>
      </c>
      <c r="F24" s="1113"/>
      <c r="G24" s="1113"/>
      <c r="H24" s="1113"/>
      <c r="I24" s="1102"/>
      <c r="J24" s="838"/>
    </row>
    <row r="25" spans="1:10" ht="15.75" x14ac:dyDescent="0.25">
      <c r="A25" s="1103">
        <v>20</v>
      </c>
      <c r="B25" s="1103"/>
      <c r="C25" s="1112" t="s">
        <v>1383</v>
      </c>
      <c r="D25" s="1112"/>
      <c r="E25" s="1113">
        <v>36540000</v>
      </c>
      <c r="F25" s="1113"/>
      <c r="G25" s="1113"/>
      <c r="H25" s="1113"/>
      <c r="I25" s="1102"/>
      <c r="J25" s="838"/>
    </row>
    <row r="26" spans="1:10" ht="30.75" customHeight="1" x14ac:dyDescent="0.25">
      <c r="A26" s="1103">
        <v>21</v>
      </c>
      <c r="B26" s="1103"/>
      <c r="C26" s="1112" t="s">
        <v>1384</v>
      </c>
      <c r="D26" s="1112"/>
      <c r="E26" s="1113">
        <v>682463599.35599995</v>
      </c>
      <c r="F26" s="1113"/>
      <c r="G26" s="1113"/>
      <c r="H26" s="1113"/>
      <c r="I26" s="1102"/>
      <c r="J26" s="838"/>
    </row>
    <row r="27" spans="1:10" ht="18" customHeight="1" x14ac:dyDescent="0.25">
      <c r="A27" s="1103">
        <v>23</v>
      </c>
      <c r="B27" s="1103"/>
      <c r="C27" s="1112" t="s">
        <v>1385</v>
      </c>
      <c r="D27" s="1112"/>
      <c r="E27" s="1113">
        <v>105000000</v>
      </c>
      <c r="F27" s="1113"/>
      <c r="G27" s="1113"/>
      <c r="H27" s="1113"/>
      <c r="I27" s="1102"/>
      <c r="J27" s="838"/>
    </row>
    <row r="28" spans="1:10" ht="15.75" x14ac:dyDescent="0.25">
      <c r="A28" s="1103">
        <v>24</v>
      </c>
      <c r="B28" s="1103"/>
      <c r="C28" s="1104" t="s">
        <v>1386</v>
      </c>
      <c r="D28" s="1104"/>
      <c r="E28" s="1105">
        <v>52500420</v>
      </c>
      <c r="F28" s="1105"/>
      <c r="G28" s="1105"/>
      <c r="H28" s="1105"/>
      <c r="I28" s="1102"/>
      <c r="J28" s="838"/>
    </row>
    <row r="29" spans="1:10" ht="15" customHeight="1" x14ac:dyDescent="0.25">
      <c r="A29" s="1103">
        <v>25</v>
      </c>
      <c r="B29" s="1103"/>
      <c r="C29" s="1104" t="s">
        <v>536</v>
      </c>
      <c r="D29" s="1104"/>
      <c r="E29" s="1105">
        <v>12600000</v>
      </c>
      <c r="F29" s="1105"/>
      <c r="G29" s="1105"/>
      <c r="H29" s="1105"/>
      <c r="I29" s="1102"/>
      <c r="J29" s="838"/>
    </row>
    <row r="30" spans="1:10" ht="15.75" x14ac:dyDescent="0.25">
      <c r="A30" s="1103">
        <v>26</v>
      </c>
      <c r="B30" s="1103"/>
      <c r="C30" s="1104" t="s">
        <v>1387</v>
      </c>
      <c r="D30" s="1104"/>
      <c r="E30" s="1105">
        <v>10500000</v>
      </c>
      <c r="F30" s="1105"/>
      <c r="G30" s="1105"/>
      <c r="H30" s="1105"/>
      <c r="I30" s="1102"/>
      <c r="J30" s="838"/>
    </row>
    <row r="31" spans="1:10" x14ac:dyDescent="0.25">
      <c r="A31" s="1106" t="s">
        <v>1388</v>
      </c>
      <c r="B31" s="1107"/>
      <c r="C31" s="1107"/>
      <c r="D31" s="1108"/>
      <c r="E31" s="1096">
        <f>SUM(E6:H30)</f>
        <v>17919248737.355999</v>
      </c>
      <c r="F31" s="1097"/>
      <c r="G31" s="1097"/>
      <c r="H31" s="1098"/>
      <c r="I31" s="1102"/>
      <c r="J31" s="838"/>
    </row>
    <row r="32" spans="1:10" ht="15" customHeight="1" x14ac:dyDescent="0.25">
      <c r="A32" s="1109"/>
      <c r="B32" s="1110"/>
      <c r="C32" s="1110"/>
      <c r="D32" s="1111"/>
      <c r="E32" s="1099"/>
      <c r="F32" s="1100"/>
      <c r="G32" s="1100"/>
      <c r="H32" s="1101"/>
      <c r="I32" s="1102"/>
      <c r="J32" s="838"/>
    </row>
  </sheetData>
  <mergeCells count="113">
    <mergeCell ref="A4:B5"/>
    <mergeCell ref="C4:D4"/>
    <mergeCell ref="C5:D5"/>
    <mergeCell ref="E4:H4"/>
    <mergeCell ref="E5:H5"/>
    <mergeCell ref="I4:J5"/>
    <mergeCell ref="A1:H1"/>
    <mergeCell ref="I1:J1"/>
    <mergeCell ref="A2:H2"/>
    <mergeCell ref="I2:J2"/>
    <mergeCell ref="A3:H3"/>
    <mergeCell ref="I3:J3"/>
    <mergeCell ref="A8:B8"/>
    <mergeCell ref="C8:D8"/>
    <mergeCell ref="E8:H8"/>
    <mergeCell ref="I8:J8"/>
    <mergeCell ref="A9:B9"/>
    <mergeCell ref="C9:D9"/>
    <mergeCell ref="E9:H9"/>
    <mergeCell ref="I9:J9"/>
    <mergeCell ref="A6:B6"/>
    <mergeCell ref="C6:D6"/>
    <mergeCell ref="E6:H6"/>
    <mergeCell ref="I6:J6"/>
    <mergeCell ref="A7:B7"/>
    <mergeCell ref="C7:D7"/>
    <mergeCell ref="E7:H7"/>
    <mergeCell ref="I7:J7"/>
    <mergeCell ref="A13:B13"/>
    <mergeCell ref="C13:D13"/>
    <mergeCell ref="E13:H13"/>
    <mergeCell ref="I13:J13"/>
    <mergeCell ref="A14:B14"/>
    <mergeCell ref="C14:D14"/>
    <mergeCell ref="E14:H14"/>
    <mergeCell ref="I14:J14"/>
    <mergeCell ref="A10:B10"/>
    <mergeCell ref="C10:D10"/>
    <mergeCell ref="E10:H10"/>
    <mergeCell ref="I10:J10"/>
    <mergeCell ref="A11:B11"/>
    <mergeCell ref="C11:D11"/>
    <mergeCell ref="E11:H11"/>
    <mergeCell ref="I11:J11"/>
    <mergeCell ref="C12:D12"/>
    <mergeCell ref="E12:H12"/>
    <mergeCell ref="A17:B17"/>
    <mergeCell ref="C17:D17"/>
    <mergeCell ref="E17:H17"/>
    <mergeCell ref="I17:J17"/>
    <mergeCell ref="A18:B18"/>
    <mergeCell ref="C18:D18"/>
    <mergeCell ref="E18:H18"/>
    <mergeCell ref="I18:J18"/>
    <mergeCell ref="A15:B15"/>
    <mergeCell ref="C15:D15"/>
    <mergeCell ref="E15:H15"/>
    <mergeCell ref="I15:J15"/>
    <mergeCell ref="A16:B16"/>
    <mergeCell ref="C16:D16"/>
    <mergeCell ref="E16:H16"/>
    <mergeCell ref="I16:J16"/>
    <mergeCell ref="A21:B21"/>
    <mergeCell ref="C21:D21"/>
    <mergeCell ref="E21:H21"/>
    <mergeCell ref="I21:J21"/>
    <mergeCell ref="A19:B19"/>
    <mergeCell ref="C19:D19"/>
    <mergeCell ref="E19:H19"/>
    <mergeCell ref="I19:J19"/>
    <mergeCell ref="A20:B20"/>
    <mergeCell ref="C20:D20"/>
    <mergeCell ref="E20:H20"/>
    <mergeCell ref="I20:J20"/>
    <mergeCell ref="A24:B24"/>
    <mergeCell ref="C24:D24"/>
    <mergeCell ref="E24:H24"/>
    <mergeCell ref="I24:J24"/>
    <mergeCell ref="A25:B25"/>
    <mergeCell ref="C25:D25"/>
    <mergeCell ref="E25:H25"/>
    <mergeCell ref="I25:J25"/>
    <mergeCell ref="A22:B22"/>
    <mergeCell ref="C22:D22"/>
    <mergeCell ref="E22:H22"/>
    <mergeCell ref="I22:J22"/>
    <mergeCell ref="A23:B23"/>
    <mergeCell ref="C23:D23"/>
    <mergeCell ref="E23:H23"/>
    <mergeCell ref="I23:J23"/>
    <mergeCell ref="A27:B27"/>
    <mergeCell ref="C27:D27"/>
    <mergeCell ref="E27:H27"/>
    <mergeCell ref="I27:J27"/>
    <mergeCell ref="A28:B28"/>
    <mergeCell ref="C28:D28"/>
    <mergeCell ref="E28:H28"/>
    <mergeCell ref="I28:J28"/>
    <mergeCell ref="A26:B26"/>
    <mergeCell ref="C26:D26"/>
    <mergeCell ref="E26:H26"/>
    <mergeCell ref="I26:J26"/>
    <mergeCell ref="E31:H32"/>
    <mergeCell ref="I31:J32"/>
    <mergeCell ref="A29:B29"/>
    <mergeCell ref="C29:D29"/>
    <mergeCell ref="E29:H29"/>
    <mergeCell ref="I29:J29"/>
    <mergeCell ref="A30:B30"/>
    <mergeCell ref="C30:D30"/>
    <mergeCell ref="E30:H30"/>
    <mergeCell ref="I30:J30"/>
    <mergeCell ref="A31:D32"/>
  </mergeCells>
  <pageMargins left="1.23" right="0.23" top="0.74" bottom="2.0299999999999998" header="0.3" footer="1.4"/>
  <pageSetup paperSize="5" scale="80" orientation="portrait" r:id="rId1"/>
  <headerFooter>
    <oddFooter xml:space="preserve">&amp;C6
</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3"/>
  <dimension ref="A1:O49"/>
  <sheetViews>
    <sheetView topLeftCell="A2" zoomScaleNormal="100" workbookViewId="0">
      <selection activeCell="A3" sqref="A3:A5"/>
    </sheetView>
  </sheetViews>
  <sheetFormatPr baseColWidth="10" defaultRowHeight="15" x14ac:dyDescent="0.25"/>
  <cols>
    <col min="1" max="1" width="3.42578125" bestFit="1" customWidth="1"/>
  </cols>
  <sheetData>
    <row r="1" spans="1:15" x14ac:dyDescent="0.25">
      <c r="A1" s="1123" t="s">
        <v>471</v>
      </c>
      <c r="B1" s="1123"/>
      <c r="C1" s="1123"/>
      <c r="D1" s="1123"/>
      <c r="E1" s="1123"/>
      <c r="F1" s="1123"/>
      <c r="G1" s="1123"/>
      <c r="H1" s="1123"/>
      <c r="I1" s="1123"/>
      <c r="J1" s="1123"/>
      <c r="K1" s="1123"/>
      <c r="L1" s="1123"/>
      <c r="M1" s="1123"/>
      <c r="N1" s="1123"/>
      <c r="O1" s="1123"/>
    </row>
    <row r="2" spans="1:15" x14ac:dyDescent="0.25">
      <c r="A2" s="1124" t="s">
        <v>1403</v>
      </c>
      <c r="B2" s="1124"/>
      <c r="C2" s="1124"/>
      <c r="D2" s="1124"/>
      <c r="E2" s="1124"/>
      <c r="F2" s="1124"/>
      <c r="G2" s="1124"/>
      <c r="H2" s="1124"/>
      <c r="I2" s="1124"/>
      <c r="J2" s="1124"/>
      <c r="K2" s="1124"/>
      <c r="L2" s="1124"/>
      <c r="M2" s="1124"/>
      <c r="N2" s="1124"/>
      <c r="O2" s="1124"/>
    </row>
    <row r="3" spans="1:15" x14ac:dyDescent="0.25">
      <c r="A3" s="1125" t="s">
        <v>472</v>
      </c>
      <c r="B3" s="1126" t="s">
        <v>287</v>
      </c>
      <c r="C3" s="1127" t="s">
        <v>498</v>
      </c>
      <c r="D3" s="1127" t="s">
        <v>499</v>
      </c>
      <c r="E3" s="1127" t="s">
        <v>500</v>
      </c>
      <c r="F3" s="1127" t="s">
        <v>501</v>
      </c>
      <c r="G3" s="1127" t="s">
        <v>502</v>
      </c>
      <c r="H3" s="1127" t="s">
        <v>503</v>
      </c>
      <c r="I3" s="1127" t="s">
        <v>504</v>
      </c>
      <c r="J3" s="1127" t="s">
        <v>505</v>
      </c>
      <c r="K3" s="1127" t="s">
        <v>506</v>
      </c>
      <c r="L3" s="1127" t="s">
        <v>507</v>
      </c>
      <c r="M3" s="1127" t="s">
        <v>508</v>
      </c>
      <c r="N3" s="1127" t="s">
        <v>509</v>
      </c>
      <c r="O3" s="1126" t="s">
        <v>298</v>
      </c>
    </row>
    <row r="4" spans="1:15" x14ac:dyDescent="0.25">
      <c r="A4" s="1125"/>
      <c r="B4" s="1126"/>
      <c r="C4" s="1127"/>
      <c r="D4" s="1127"/>
      <c r="E4" s="1127"/>
      <c r="F4" s="1127"/>
      <c r="G4" s="1127"/>
      <c r="H4" s="1127"/>
      <c r="I4" s="1127"/>
      <c r="J4" s="1127"/>
      <c r="K4" s="1127"/>
      <c r="L4" s="1127"/>
      <c r="M4" s="1127"/>
      <c r="N4" s="1127"/>
      <c r="O4" s="1126"/>
    </row>
    <row r="5" spans="1:15" x14ac:dyDescent="0.25">
      <c r="A5" s="1125"/>
      <c r="B5" s="1126"/>
      <c r="C5" s="1127"/>
      <c r="D5" s="1127"/>
      <c r="E5" s="1127"/>
      <c r="F5" s="1127"/>
      <c r="G5" s="1127"/>
      <c r="H5" s="1127"/>
      <c r="I5" s="1127"/>
      <c r="J5" s="1127"/>
      <c r="K5" s="1127"/>
      <c r="L5" s="1127"/>
      <c r="M5" s="1127"/>
      <c r="N5" s="1127"/>
      <c r="O5" s="1126"/>
    </row>
    <row r="6" spans="1:15" x14ac:dyDescent="0.25">
      <c r="A6" s="70">
        <v>1</v>
      </c>
      <c r="B6" s="6" t="s">
        <v>241</v>
      </c>
      <c r="C6" s="71">
        <v>0</v>
      </c>
      <c r="D6" s="71">
        <v>0</v>
      </c>
      <c r="E6" s="71">
        <v>0</v>
      </c>
      <c r="F6" s="71">
        <v>36857730</v>
      </c>
      <c r="G6" s="71">
        <v>134400</v>
      </c>
      <c r="H6" s="71">
        <v>1701000</v>
      </c>
      <c r="I6" s="71">
        <v>0</v>
      </c>
      <c r="J6" s="71">
        <v>0</v>
      </c>
      <c r="K6" s="71">
        <v>0</v>
      </c>
      <c r="L6" s="71">
        <v>6510000</v>
      </c>
      <c r="M6" s="71">
        <v>0</v>
      </c>
      <c r="N6" s="71">
        <v>0</v>
      </c>
      <c r="O6" s="72">
        <v>45203130</v>
      </c>
    </row>
    <row r="7" spans="1:15" x14ac:dyDescent="0.25">
      <c r="A7" s="70">
        <v>2</v>
      </c>
      <c r="B7" s="6" t="s">
        <v>242</v>
      </c>
      <c r="C7" s="71">
        <v>0</v>
      </c>
      <c r="D7" s="71">
        <v>1995000</v>
      </c>
      <c r="E7" s="71">
        <v>240190</v>
      </c>
      <c r="F7" s="71">
        <v>0</v>
      </c>
      <c r="G7" s="71">
        <v>33600</v>
      </c>
      <c r="H7" s="71">
        <v>1134000</v>
      </c>
      <c r="I7" s="71">
        <v>0</v>
      </c>
      <c r="J7" s="71">
        <v>0</v>
      </c>
      <c r="K7" s="71">
        <v>0</v>
      </c>
      <c r="L7" s="71">
        <v>13020000</v>
      </c>
      <c r="M7" s="71">
        <v>3360000</v>
      </c>
      <c r="N7" s="71">
        <v>0</v>
      </c>
      <c r="O7" s="72">
        <v>19782790</v>
      </c>
    </row>
    <row r="8" spans="1:15" ht="22.5" x14ac:dyDescent="0.25">
      <c r="A8" s="70">
        <v>3</v>
      </c>
      <c r="B8" s="6" t="s">
        <v>243</v>
      </c>
      <c r="C8" s="71">
        <v>0</v>
      </c>
      <c r="D8" s="71">
        <v>0</v>
      </c>
      <c r="E8" s="71">
        <v>240190</v>
      </c>
      <c r="F8" s="71">
        <v>0</v>
      </c>
      <c r="G8" s="71">
        <v>0</v>
      </c>
      <c r="H8" s="71">
        <v>0</v>
      </c>
      <c r="I8" s="71">
        <v>0</v>
      </c>
      <c r="J8" s="71">
        <v>0</v>
      </c>
      <c r="K8" s="71">
        <v>0</v>
      </c>
      <c r="L8" s="71">
        <v>0</v>
      </c>
      <c r="M8" s="71">
        <v>0</v>
      </c>
      <c r="N8" s="71">
        <v>0</v>
      </c>
      <c r="O8" s="72">
        <v>240190</v>
      </c>
    </row>
    <row r="9" spans="1:15" x14ac:dyDescent="0.25">
      <c r="A9" s="70">
        <v>4</v>
      </c>
      <c r="B9" s="6" t="s">
        <v>244</v>
      </c>
      <c r="C9" s="71">
        <v>437535</v>
      </c>
      <c r="D9" s="71">
        <v>0</v>
      </c>
      <c r="E9" s="71">
        <v>120095</v>
      </c>
      <c r="F9" s="71">
        <v>9214433</v>
      </c>
      <c r="G9" s="71">
        <v>67200</v>
      </c>
      <c r="H9" s="71">
        <v>1134000</v>
      </c>
      <c r="I9" s="71">
        <v>0</v>
      </c>
      <c r="J9" s="71">
        <v>0</v>
      </c>
      <c r="K9" s="71">
        <v>0</v>
      </c>
      <c r="L9" s="71">
        <v>6510000</v>
      </c>
      <c r="M9" s="71">
        <v>0</v>
      </c>
      <c r="N9" s="71">
        <v>0</v>
      </c>
      <c r="O9" s="72">
        <v>17483262</v>
      </c>
    </row>
    <row r="10" spans="1:15" ht="22.5" x14ac:dyDescent="0.25">
      <c r="A10" s="70">
        <v>5</v>
      </c>
      <c r="B10" s="6" t="s">
        <v>245</v>
      </c>
      <c r="C10" s="71">
        <v>0</v>
      </c>
      <c r="D10" s="71">
        <v>0</v>
      </c>
      <c r="E10" s="71">
        <v>120095</v>
      </c>
      <c r="F10" s="71">
        <v>0</v>
      </c>
      <c r="G10" s="71">
        <v>0</v>
      </c>
      <c r="H10" s="71">
        <v>0</v>
      </c>
      <c r="I10" s="71">
        <v>0</v>
      </c>
      <c r="J10" s="71">
        <v>0</v>
      </c>
      <c r="K10" s="71">
        <v>0</v>
      </c>
      <c r="L10" s="71">
        <v>6510000</v>
      </c>
      <c r="M10" s="71">
        <v>0</v>
      </c>
      <c r="N10" s="71">
        <v>0</v>
      </c>
      <c r="O10" s="72">
        <v>6630095</v>
      </c>
    </row>
    <row r="11" spans="1:15" x14ac:dyDescent="0.25">
      <c r="A11" s="70">
        <v>6</v>
      </c>
      <c r="B11" s="6" t="s">
        <v>246</v>
      </c>
      <c r="C11" s="71">
        <v>145845</v>
      </c>
      <c r="D11" s="71">
        <v>0</v>
      </c>
      <c r="E11" s="71">
        <v>120095</v>
      </c>
      <c r="F11" s="71">
        <v>18428865</v>
      </c>
      <c r="G11" s="71">
        <v>100800</v>
      </c>
      <c r="H11" s="71">
        <v>1134000</v>
      </c>
      <c r="I11" s="71">
        <v>0</v>
      </c>
      <c r="J11" s="71">
        <v>0</v>
      </c>
      <c r="K11" s="71">
        <v>0</v>
      </c>
      <c r="L11" s="71">
        <v>6510000</v>
      </c>
      <c r="M11" s="71">
        <v>0</v>
      </c>
      <c r="N11" s="71">
        <v>0</v>
      </c>
      <c r="O11" s="72">
        <v>26439605</v>
      </c>
    </row>
    <row r="12" spans="1:15" x14ac:dyDescent="0.25">
      <c r="A12" s="70">
        <v>7</v>
      </c>
      <c r="B12" s="7" t="s">
        <v>247</v>
      </c>
      <c r="C12" s="71">
        <v>0</v>
      </c>
      <c r="D12" s="71">
        <v>0</v>
      </c>
      <c r="E12" s="71">
        <v>120095</v>
      </c>
      <c r="F12" s="71">
        <v>9214433</v>
      </c>
      <c r="G12" s="71">
        <v>0</v>
      </c>
      <c r="H12" s="71">
        <v>0</v>
      </c>
      <c r="I12" s="71">
        <v>0</v>
      </c>
      <c r="J12" s="71">
        <v>0</v>
      </c>
      <c r="K12" s="71">
        <v>0</v>
      </c>
      <c r="L12" s="71">
        <v>6510000</v>
      </c>
      <c r="M12" s="71">
        <v>0</v>
      </c>
      <c r="N12" s="71">
        <v>0</v>
      </c>
      <c r="O12" s="72">
        <v>15844527</v>
      </c>
    </row>
    <row r="13" spans="1:15" ht="22.5" x14ac:dyDescent="0.25">
      <c r="A13" s="70">
        <v>8</v>
      </c>
      <c r="B13" s="6" t="s">
        <v>248</v>
      </c>
      <c r="C13" s="71">
        <v>0</v>
      </c>
      <c r="D13" s="71">
        <v>0</v>
      </c>
      <c r="E13" s="71">
        <v>0</v>
      </c>
      <c r="F13" s="71">
        <v>0</v>
      </c>
      <c r="G13" s="71">
        <v>0</v>
      </c>
      <c r="H13" s="71">
        <v>0</v>
      </c>
      <c r="I13" s="71">
        <v>0</v>
      </c>
      <c r="J13" s="71">
        <v>0</v>
      </c>
      <c r="K13" s="71">
        <v>0</v>
      </c>
      <c r="L13" s="71">
        <v>0</v>
      </c>
      <c r="M13" s="71">
        <v>0</v>
      </c>
      <c r="N13" s="71">
        <v>0</v>
      </c>
      <c r="O13" s="72">
        <v>0</v>
      </c>
    </row>
    <row r="14" spans="1:15" x14ac:dyDescent="0.25">
      <c r="A14" s="70">
        <v>9</v>
      </c>
      <c r="B14" s="7" t="s">
        <v>249</v>
      </c>
      <c r="C14" s="71">
        <v>0</v>
      </c>
      <c r="D14" s="71">
        <v>0</v>
      </c>
      <c r="E14" s="71">
        <v>120095</v>
      </c>
      <c r="F14" s="71">
        <v>0</v>
      </c>
      <c r="G14" s="71">
        <v>0</v>
      </c>
      <c r="H14" s="71">
        <v>0</v>
      </c>
      <c r="I14" s="71">
        <v>0</v>
      </c>
      <c r="J14" s="71">
        <v>0</v>
      </c>
      <c r="K14" s="71">
        <v>0</v>
      </c>
      <c r="L14" s="71">
        <v>6510000</v>
      </c>
      <c r="M14" s="71">
        <v>0</v>
      </c>
      <c r="N14" s="71">
        <v>0</v>
      </c>
      <c r="O14" s="72">
        <v>6630095</v>
      </c>
    </row>
    <row r="15" spans="1:15" x14ac:dyDescent="0.25">
      <c r="A15" s="70">
        <v>10</v>
      </c>
      <c r="B15" s="6" t="s">
        <v>250</v>
      </c>
      <c r="C15" s="71">
        <v>0</v>
      </c>
      <c r="D15" s="71">
        <v>0</v>
      </c>
      <c r="E15" s="71">
        <v>120095</v>
      </c>
      <c r="F15" s="71">
        <v>9214433</v>
      </c>
      <c r="G15" s="71">
        <v>0</v>
      </c>
      <c r="H15" s="71">
        <v>0</v>
      </c>
      <c r="I15" s="71">
        <v>0</v>
      </c>
      <c r="J15" s="71">
        <v>0</v>
      </c>
      <c r="K15" s="71">
        <v>0</v>
      </c>
      <c r="L15" s="71">
        <v>6510000</v>
      </c>
      <c r="M15" s="71">
        <v>0</v>
      </c>
      <c r="N15" s="71">
        <v>0</v>
      </c>
      <c r="O15" s="72">
        <v>15844527</v>
      </c>
    </row>
    <row r="16" spans="1:15" x14ac:dyDescent="0.25">
      <c r="A16" s="70">
        <v>11</v>
      </c>
      <c r="B16" s="6" t="s">
        <v>251</v>
      </c>
      <c r="C16" s="71">
        <v>0</v>
      </c>
      <c r="D16" s="71">
        <v>0</v>
      </c>
      <c r="E16" s="71">
        <v>120095</v>
      </c>
      <c r="F16" s="71">
        <v>0</v>
      </c>
      <c r="G16" s="71">
        <v>0</v>
      </c>
      <c r="H16" s="71">
        <v>0</v>
      </c>
      <c r="I16" s="71">
        <v>0</v>
      </c>
      <c r="J16" s="71">
        <v>0</v>
      </c>
      <c r="K16" s="71">
        <v>0</v>
      </c>
      <c r="L16" s="71">
        <v>6510000</v>
      </c>
      <c r="M16" s="71">
        <v>0</v>
      </c>
      <c r="N16" s="71">
        <v>0</v>
      </c>
      <c r="O16" s="72">
        <v>6630095</v>
      </c>
    </row>
    <row r="17" spans="1:15" ht="33.75" x14ac:dyDescent="0.25">
      <c r="A17" s="70">
        <v>12</v>
      </c>
      <c r="B17" s="6" t="s">
        <v>252</v>
      </c>
      <c r="C17" s="71">
        <v>0</v>
      </c>
      <c r="D17" s="71">
        <v>0</v>
      </c>
      <c r="E17" s="71">
        <v>120095</v>
      </c>
      <c r="F17" s="71">
        <v>0</v>
      </c>
      <c r="G17" s="71">
        <v>0</v>
      </c>
      <c r="H17" s="71">
        <v>0</v>
      </c>
      <c r="I17" s="71">
        <v>0</v>
      </c>
      <c r="J17" s="71">
        <v>0</v>
      </c>
      <c r="K17" s="71">
        <v>0</v>
      </c>
      <c r="L17" s="71">
        <v>6510000</v>
      </c>
      <c r="M17" s="71">
        <v>0</v>
      </c>
      <c r="N17" s="71">
        <v>0</v>
      </c>
      <c r="O17" s="72">
        <v>6630095</v>
      </c>
    </row>
    <row r="18" spans="1:15" ht="22.5" x14ac:dyDescent="0.25">
      <c r="A18" s="70">
        <v>13</v>
      </c>
      <c r="B18" s="6" t="s">
        <v>253</v>
      </c>
      <c r="C18" s="71">
        <v>145845</v>
      </c>
      <c r="D18" s="71">
        <v>0</v>
      </c>
      <c r="E18" s="71">
        <v>0</v>
      </c>
      <c r="F18" s="71">
        <v>9214433</v>
      </c>
      <c r="G18" s="71">
        <v>33600</v>
      </c>
      <c r="H18" s="71">
        <v>1134000</v>
      </c>
      <c r="I18" s="71">
        <v>0</v>
      </c>
      <c r="J18" s="71">
        <v>0</v>
      </c>
      <c r="K18" s="71">
        <v>0</v>
      </c>
      <c r="L18" s="71">
        <v>6510000</v>
      </c>
      <c r="M18" s="71">
        <v>0</v>
      </c>
      <c r="N18" s="71">
        <v>0</v>
      </c>
      <c r="O18" s="72">
        <v>17037878</v>
      </c>
    </row>
    <row r="19" spans="1:15" ht="21" x14ac:dyDescent="0.25">
      <c r="A19" s="70">
        <v>14</v>
      </c>
      <c r="B19" s="7" t="s">
        <v>254</v>
      </c>
      <c r="C19" s="71">
        <v>0</v>
      </c>
      <c r="D19" s="71">
        <v>0</v>
      </c>
      <c r="E19" s="71">
        <v>0</v>
      </c>
      <c r="F19" s="71">
        <v>18428865</v>
      </c>
      <c r="G19" s="71">
        <v>33600</v>
      </c>
      <c r="H19" s="71">
        <v>1134000</v>
      </c>
      <c r="I19" s="71">
        <v>0</v>
      </c>
      <c r="J19" s="71">
        <v>0</v>
      </c>
      <c r="K19" s="71">
        <v>0</v>
      </c>
      <c r="L19" s="71">
        <v>6510000</v>
      </c>
      <c r="M19" s="71">
        <v>0</v>
      </c>
      <c r="N19" s="71">
        <v>0</v>
      </c>
      <c r="O19" s="72">
        <v>26106465</v>
      </c>
    </row>
    <row r="20" spans="1:15" x14ac:dyDescent="0.25">
      <c r="A20" s="70">
        <v>15</v>
      </c>
      <c r="B20" s="6" t="s">
        <v>255</v>
      </c>
      <c r="C20" s="71">
        <v>0</v>
      </c>
      <c r="D20" s="71">
        <v>0</v>
      </c>
      <c r="E20" s="71">
        <v>120095</v>
      </c>
      <c r="F20" s="71">
        <v>0</v>
      </c>
      <c r="G20" s="71">
        <v>0</v>
      </c>
      <c r="H20" s="71">
        <v>0</v>
      </c>
      <c r="I20" s="71">
        <v>0</v>
      </c>
      <c r="J20" s="71">
        <v>0</v>
      </c>
      <c r="K20" s="71">
        <v>0</v>
      </c>
      <c r="L20" s="71">
        <v>6510000</v>
      </c>
      <c r="M20" s="71">
        <v>0</v>
      </c>
      <c r="N20" s="71">
        <v>0</v>
      </c>
      <c r="O20" s="72">
        <v>6630095</v>
      </c>
    </row>
    <row r="21" spans="1:15" x14ac:dyDescent="0.25">
      <c r="A21" s="70">
        <v>16</v>
      </c>
      <c r="B21" s="6" t="s">
        <v>256</v>
      </c>
      <c r="C21" s="71">
        <v>0</v>
      </c>
      <c r="D21" s="71">
        <v>0</v>
      </c>
      <c r="E21" s="71">
        <v>120095</v>
      </c>
      <c r="F21" s="71">
        <v>0</v>
      </c>
      <c r="G21" s="71">
        <v>0</v>
      </c>
      <c r="H21" s="71">
        <v>0</v>
      </c>
      <c r="I21" s="71">
        <v>0</v>
      </c>
      <c r="J21" s="71">
        <v>0</v>
      </c>
      <c r="K21" s="71">
        <v>0</v>
      </c>
      <c r="L21" s="71">
        <v>6510000</v>
      </c>
      <c r="M21" s="71">
        <v>0</v>
      </c>
      <c r="N21" s="71">
        <v>0</v>
      </c>
      <c r="O21" s="72">
        <v>6630095</v>
      </c>
    </row>
    <row r="22" spans="1:15" ht="22.5" x14ac:dyDescent="0.25">
      <c r="A22" s="70">
        <v>17</v>
      </c>
      <c r="B22" s="6" t="s">
        <v>257</v>
      </c>
      <c r="C22" s="71">
        <v>0</v>
      </c>
      <c r="D22" s="71">
        <v>0</v>
      </c>
      <c r="E22" s="71">
        <v>0</v>
      </c>
      <c r="F22" s="71">
        <v>0</v>
      </c>
      <c r="G22" s="71">
        <v>33600</v>
      </c>
      <c r="H22" s="71">
        <v>0</v>
      </c>
      <c r="I22" s="71">
        <v>0</v>
      </c>
      <c r="J22" s="71">
        <v>0</v>
      </c>
      <c r="K22" s="71">
        <v>0</v>
      </c>
      <c r="L22" s="71">
        <v>0</v>
      </c>
      <c r="M22" s="71">
        <v>0</v>
      </c>
      <c r="N22" s="71">
        <v>0</v>
      </c>
      <c r="O22" s="72">
        <v>33600</v>
      </c>
    </row>
    <row r="23" spans="1:15" x14ac:dyDescent="0.25">
      <c r="A23" s="70">
        <v>18</v>
      </c>
      <c r="B23" s="6" t="s">
        <v>258</v>
      </c>
      <c r="C23" s="71">
        <v>437535</v>
      </c>
      <c r="D23" s="71">
        <v>0</v>
      </c>
      <c r="E23" s="71">
        <v>120095</v>
      </c>
      <c r="F23" s="71">
        <v>18428865</v>
      </c>
      <c r="G23" s="71">
        <v>0</v>
      </c>
      <c r="H23" s="71">
        <v>1134000</v>
      </c>
      <c r="I23" s="71">
        <v>0</v>
      </c>
      <c r="J23" s="71">
        <v>0</v>
      </c>
      <c r="K23" s="71">
        <v>0</v>
      </c>
      <c r="L23" s="71">
        <v>0</v>
      </c>
      <c r="M23" s="71">
        <v>0</v>
      </c>
      <c r="N23" s="71">
        <v>0</v>
      </c>
      <c r="O23" s="72">
        <v>20120495</v>
      </c>
    </row>
    <row r="24" spans="1:15" ht="22.5" x14ac:dyDescent="0.25">
      <c r="A24" s="70">
        <v>19</v>
      </c>
      <c r="B24" s="6" t="s">
        <v>259</v>
      </c>
      <c r="C24" s="71">
        <v>2187675</v>
      </c>
      <c r="D24" s="71">
        <v>1995000</v>
      </c>
      <c r="E24" s="71">
        <v>120095</v>
      </c>
      <c r="F24" s="71">
        <v>36857730</v>
      </c>
      <c r="G24" s="71">
        <v>168000</v>
      </c>
      <c r="H24" s="71">
        <v>4536000</v>
      </c>
      <c r="I24" s="71">
        <v>0</v>
      </c>
      <c r="J24" s="71">
        <v>2625000</v>
      </c>
      <c r="K24" s="71">
        <v>5827500</v>
      </c>
      <c r="L24" s="71">
        <v>13020000</v>
      </c>
      <c r="M24" s="71">
        <v>0</v>
      </c>
      <c r="N24" s="71">
        <v>28875000</v>
      </c>
      <c r="O24" s="72">
        <v>96212000</v>
      </c>
    </row>
    <row r="25" spans="1:15" x14ac:dyDescent="0.25">
      <c r="A25" s="70">
        <v>20</v>
      </c>
      <c r="B25" s="6" t="s">
        <v>260</v>
      </c>
      <c r="C25" s="71">
        <v>0</v>
      </c>
      <c r="D25" s="71">
        <v>0</v>
      </c>
      <c r="E25" s="71">
        <v>120095</v>
      </c>
      <c r="F25" s="71">
        <v>0</v>
      </c>
      <c r="G25" s="71">
        <v>0</v>
      </c>
      <c r="H25" s="71">
        <v>0</v>
      </c>
      <c r="I25" s="71">
        <v>0</v>
      </c>
      <c r="J25" s="71">
        <v>0</v>
      </c>
      <c r="K25" s="71">
        <v>0</v>
      </c>
      <c r="L25" s="71">
        <v>0</v>
      </c>
      <c r="M25" s="71">
        <v>0</v>
      </c>
      <c r="N25" s="71">
        <v>0</v>
      </c>
      <c r="O25" s="72">
        <v>120095</v>
      </c>
    </row>
    <row r="26" spans="1:15" x14ac:dyDescent="0.25">
      <c r="A26" s="70">
        <v>21</v>
      </c>
      <c r="B26" s="6" t="s">
        <v>261</v>
      </c>
      <c r="C26" s="71">
        <v>0</v>
      </c>
      <c r="D26" s="71">
        <v>0</v>
      </c>
      <c r="E26" s="71">
        <v>240190</v>
      </c>
      <c r="F26" s="71">
        <v>0</v>
      </c>
      <c r="G26" s="71">
        <v>0</v>
      </c>
      <c r="H26" s="71">
        <v>1134000</v>
      </c>
      <c r="I26" s="71">
        <v>0</v>
      </c>
      <c r="J26" s="71">
        <v>0</v>
      </c>
      <c r="K26" s="71">
        <v>0</v>
      </c>
      <c r="L26" s="71">
        <v>0</v>
      </c>
      <c r="M26" s="71">
        <v>0</v>
      </c>
      <c r="N26" s="71">
        <v>0</v>
      </c>
      <c r="O26" s="72">
        <v>1374190</v>
      </c>
    </row>
    <row r="27" spans="1:15" ht="22.5" x14ac:dyDescent="0.25">
      <c r="A27" s="70">
        <v>22</v>
      </c>
      <c r="B27" s="6" t="s">
        <v>262</v>
      </c>
      <c r="C27" s="71">
        <v>0</v>
      </c>
      <c r="D27" s="71">
        <v>0</v>
      </c>
      <c r="E27" s="71">
        <v>120095</v>
      </c>
      <c r="F27" s="71">
        <v>0</v>
      </c>
      <c r="G27" s="71">
        <v>0</v>
      </c>
      <c r="H27" s="71">
        <v>0</v>
      </c>
      <c r="I27" s="71">
        <v>0</v>
      </c>
      <c r="J27" s="71">
        <v>0</v>
      </c>
      <c r="K27" s="71">
        <v>0</v>
      </c>
      <c r="L27" s="71">
        <v>6510000</v>
      </c>
      <c r="M27" s="71">
        <v>0</v>
      </c>
      <c r="N27" s="71">
        <v>0</v>
      </c>
      <c r="O27" s="72">
        <v>6630095</v>
      </c>
    </row>
    <row r="28" spans="1:15" x14ac:dyDescent="0.25">
      <c r="A28" s="70">
        <v>23</v>
      </c>
      <c r="B28" s="6" t="s">
        <v>263</v>
      </c>
      <c r="C28" s="71">
        <v>0</v>
      </c>
      <c r="D28" s="71">
        <v>0</v>
      </c>
      <c r="E28" s="71">
        <v>120095</v>
      </c>
      <c r="F28" s="71">
        <v>0</v>
      </c>
      <c r="G28" s="71">
        <v>0</v>
      </c>
      <c r="H28" s="71">
        <v>0</v>
      </c>
      <c r="I28" s="71">
        <v>0</v>
      </c>
      <c r="J28" s="71">
        <v>0</v>
      </c>
      <c r="K28" s="71">
        <v>0</v>
      </c>
      <c r="L28" s="71">
        <v>6510000</v>
      </c>
      <c r="M28" s="71">
        <v>0</v>
      </c>
      <c r="N28" s="71">
        <v>0</v>
      </c>
      <c r="O28" s="72">
        <v>6630095</v>
      </c>
    </row>
    <row r="29" spans="1:15" x14ac:dyDescent="0.25">
      <c r="A29" s="70">
        <v>24</v>
      </c>
      <c r="B29" s="6" t="s">
        <v>264</v>
      </c>
      <c r="C29" s="71">
        <v>0</v>
      </c>
      <c r="D29" s="71">
        <v>0</v>
      </c>
      <c r="E29" s="71">
        <v>0</v>
      </c>
      <c r="F29" s="71">
        <v>46072163</v>
      </c>
      <c r="G29" s="71">
        <v>134400</v>
      </c>
      <c r="H29" s="71">
        <v>3402000</v>
      </c>
      <c r="I29" s="71">
        <v>0</v>
      </c>
      <c r="J29" s="71">
        <v>0</v>
      </c>
      <c r="K29" s="71">
        <v>0</v>
      </c>
      <c r="L29" s="71">
        <v>6510000</v>
      </c>
      <c r="M29" s="71">
        <v>0</v>
      </c>
      <c r="N29" s="71">
        <v>0</v>
      </c>
      <c r="O29" s="72">
        <v>56118563</v>
      </c>
    </row>
    <row r="30" spans="1:15" x14ac:dyDescent="0.25">
      <c r="A30" s="70">
        <v>25</v>
      </c>
      <c r="B30" s="6" t="s">
        <v>265</v>
      </c>
      <c r="C30" s="71">
        <v>875070</v>
      </c>
      <c r="D30" s="71">
        <v>1995000</v>
      </c>
      <c r="E30" s="71">
        <v>240190</v>
      </c>
      <c r="F30" s="71">
        <v>55286595</v>
      </c>
      <c r="G30" s="71">
        <v>67200</v>
      </c>
      <c r="H30" s="71">
        <v>3402000</v>
      </c>
      <c r="I30" s="71">
        <v>89250000</v>
      </c>
      <c r="J30" s="71">
        <v>7875000</v>
      </c>
      <c r="K30" s="71">
        <v>7770000</v>
      </c>
      <c r="L30" s="71">
        <v>0</v>
      </c>
      <c r="M30" s="71">
        <v>0</v>
      </c>
      <c r="N30" s="71">
        <v>28875000</v>
      </c>
      <c r="O30" s="72">
        <v>195636055</v>
      </c>
    </row>
    <row r="31" spans="1:15" x14ac:dyDescent="0.25">
      <c r="A31" s="70">
        <v>26</v>
      </c>
      <c r="B31" s="6" t="s">
        <v>266</v>
      </c>
      <c r="C31" s="71">
        <v>0</v>
      </c>
      <c r="D31" s="71">
        <v>0</v>
      </c>
      <c r="E31" s="71">
        <v>240190</v>
      </c>
      <c r="F31" s="71">
        <v>0</v>
      </c>
      <c r="G31" s="71">
        <v>0</v>
      </c>
      <c r="H31" s="71">
        <v>0</v>
      </c>
      <c r="I31" s="71">
        <v>0</v>
      </c>
      <c r="J31" s="71">
        <v>0</v>
      </c>
      <c r="K31" s="71">
        <v>0</v>
      </c>
      <c r="L31" s="71">
        <v>6510000</v>
      </c>
      <c r="M31" s="71">
        <v>0</v>
      </c>
      <c r="N31" s="71">
        <v>0</v>
      </c>
      <c r="O31" s="72">
        <v>6750190</v>
      </c>
    </row>
    <row r="32" spans="1:15" x14ac:dyDescent="0.25">
      <c r="A32" s="70">
        <v>27</v>
      </c>
      <c r="B32" s="6" t="s">
        <v>267</v>
      </c>
      <c r="C32" s="71">
        <v>0</v>
      </c>
      <c r="D32" s="71">
        <v>0</v>
      </c>
      <c r="E32" s="71">
        <v>120095</v>
      </c>
      <c r="F32" s="71">
        <v>0</v>
      </c>
      <c r="G32" s="71">
        <v>0</v>
      </c>
      <c r="H32" s="71">
        <v>0</v>
      </c>
      <c r="I32" s="71">
        <v>0</v>
      </c>
      <c r="J32" s="71">
        <v>0</v>
      </c>
      <c r="K32" s="71">
        <v>0</v>
      </c>
      <c r="L32" s="71">
        <v>0</v>
      </c>
      <c r="M32" s="71">
        <v>0</v>
      </c>
      <c r="N32" s="71">
        <v>0</v>
      </c>
      <c r="O32" s="72">
        <v>120095</v>
      </c>
    </row>
    <row r="33" spans="1:15" x14ac:dyDescent="0.25">
      <c r="A33" s="70">
        <v>28</v>
      </c>
      <c r="B33" s="6" t="s">
        <v>268</v>
      </c>
      <c r="C33" s="71">
        <v>0</v>
      </c>
      <c r="D33" s="71">
        <v>0</v>
      </c>
      <c r="E33" s="71">
        <v>120095</v>
      </c>
      <c r="F33" s="71">
        <v>0</v>
      </c>
      <c r="G33" s="71">
        <v>0</v>
      </c>
      <c r="H33" s="71">
        <v>0</v>
      </c>
      <c r="I33" s="71">
        <v>0</v>
      </c>
      <c r="J33" s="71">
        <v>0</v>
      </c>
      <c r="K33" s="71">
        <v>0</v>
      </c>
      <c r="L33" s="71">
        <v>6510000</v>
      </c>
      <c r="M33" s="71">
        <v>0</v>
      </c>
      <c r="N33" s="71">
        <v>0</v>
      </c>
      <c r="O33" s="72">
        <v>6630095</v>
      </c>
    </row>
    <row r="34" spans="1:15" ht="22.5" x14ac:dyDescent="0.25">
      <c r="A34" s="70">
        <v>29</v>
      </c>
      <c r="B34" s="6" t="s">
        <v>269</v>
      </c>
      <c r="C34" s="71">
        <v>0</v>
      </c>
      <c r="D34" s="71">
        <v>0</v>
      </c>
      <c r="E34" s="71">
        <v>120095</v>
      </c>
      <c r="F34" s="71">
        <v>0</v>
      </c>
      <c r="G34" s="71">
        <v>0</v>
      </c>
      <c r="H34" s="71">
        <v>1134000</v>
      </c>
      <c r="I34" s="71">
        <v>0</v>
      </c>
      <c r="J34" s="71">
        <v>0</v>
      </c>
      <c r="K34" s="71">
        <v>0</v>
      </c>
      <c r="L34" s="71">
        <v>6510000</v>
      </c>
      <c r="M34" s="71">
        <v>0</v>
      </c>
      <c r="N34" s="71">
        <v>0</v>
      </c>
      <c r="O34" s="72">
        <v>7764095</v>
      </c>
    </row>
    <row r="35" spans="1:15" x14ac:dyDescent="0.25">
      <c r="A35" s="70">
        <v>30</v>
      </c>
      <c r="B35" s="6" t="s">
        <v>270</v>
      </c>
      <c r="C35" s="71">
        <v>0</v>
      </c>
      <c r="D35" s="71">
        <v>0</v>
      </c>
      <c r="E35" s="71">
        <v>120095</v>
      </c>
      <c r="F35" s="71">
        <v>0</v>
      </c>
      <c r="G35" s="71">
        <v>0</v>
      </c>
      <c r="H35" s="71">
        <v>0</v>
      </c>
      <c r="I35" s="71">
        <v>0</v>
      </c>
      <c r="J35" s="71">
        <v>0</v>
      </c>
      <c r="K35" s="71">
        <v>0</v>
      </c>
      <c r="L35" s="71">
        <v>6510000</v>
      </c>
      <c r="M35" s="71">
        <v>0</v>
      </c>
      <c r="N35" s="71">
        <v>0</v>
      </c>
      <c r="O35" s="72">
        <v>6630095</v>
      </c>
    </row>
    <row r="36" spans="1:15" x14ac:dyDescent="0.25">
      <c r="A36" s="70">
        <v>31</v>
      </c>
      <c r="B36" s="6" t="s">
        <v>271</v>
      </c>
      <c r="C36" s="71">
        <v>0</v>
      </c>
      <c r="D36" s="71">
        <v>0</v>
      </c>
      <c r="E36" s="71">
        <v>0</v>
      </c>
      <c r="F36" s="71">
        <v>27643298</v>
      </c>
      <c r="G36" s="71">
        <v>0</v>
      </c>
      <c r="H36" s="71">
        <v>2835000</v>
      </c>
      <c r="I36" s="71">
        <v>0</v>
      </c>
      <c r="J36" s="71">
        <v>0</v>
      </c>
      <c r="K36" s="71">
        <v>0</v>
      </c>
      <c r="L36" s="71">
        <v>6510000</v>
      </c>
      <c r="M36" s="71">
        <v>0</v>
      </c>
      <c r="N36" s="71">
        <v>0</v>
      </c>
      <c r="O36" s="72">
        <v>36988298</v>
      </c>
    </row>
    <row r="37" spans="1:15" x14ac:dyDescent="0.25">
      <c r="A37" s="70">
        <v>32</v>
      </c>
      <c r="B37" s="6" t="s">
        <v>272</v>
      </c>
      <c r="C37" s="71">
        <v>0</v>
      </c>
      <c r="D37" s="73">
        <v>0</v>
      </c>
      <c r="E37" s="71">
        <v>0</v>
      </c>
      <c r="F37" s="71">
        <v>9214433</v>
      </c>
      <c r="G37" s="71">
        <v>0</v>
      </c>
      <c r="H37" s="71">
        <v>0</v>
      </c>
      <c r="I37" s="71">
        <v>0</v>
      </c>
      <c r="J37" s="71">
        <v>0</v>
      </c>
      <c r="K37" s="71">
        <v>0</v>
      </c>
      <c r="L37" s="71">
        <v>0</v>
      </c>
      <c r="M37" s="71">
        <v>0</v>
      </c>
      <c r="N37" s="71">
        <v>0</v>
      </c>
      <c r="O37" s="72">
        <v>9214433</v>
      </c>
    </row>
    <row r="38" spans="1:15" x14ac:dyDescent="0.25">
      <c r="A38" s="70">
        <v>33</v>
      </c>
      <c r="B38" s="6" t="s">
        <v>273</v>
      </c>
      <c r="C38" s="71">
        <v>0</v>
      </c>
      <c r="D38" s="71">
        <v>0</v>
      </c>
      <c r="E38" s="71">
        <v>0</v>
      </c>
      <c r="F38" s="71">
        <v>0</v>
      </c>
      <c r="G38" s="71">
        <v>0</v>
      </c>
      <c r="H38" s="71">
        <v>567000</v>
      </c>
      <c r="I38" s="71">
        <v>0</v>
      </c>
      <c r="J38" s="71">
        <v>0</v>
      </c>
      <c r="K38" s="71">
        <v>0</v>
      </c>
      <c r="L38" s="71">
        <v>6510000</v>
      </c>
      <c r="M38" s="71">
        <v>0</v>
      </c>
      <c r="N38" s="71">
        <v>0</v>
      </c>
      <c r="O38" s="72">
        <v>7077000</v>
      </c>
    </row>
    <row r="39" spans="1:15" x14ac:dyDescent="0.25">
      <c r="A39" s="70">
        <v>34</v>
      </c>
      <c r="B39" s="6" t="s">
        <v>274</v>
      </c>
      <c r="C39" s="71">
        <v>0</v>
      </c>
      <c r="D39" s="71">
        <v>0</v>
      </c>
      <c r="E39" s="71">
        <v>120095</v>
      </c>
      <c r="F39" s="71">
        <v>9214433</v>
      </c>
      <c r="G39" s="71">
        <v>0</v>
      </c>
      <c r="H39" s="71">
        <v>0</v>
      </c>
      <c r="I39" s="71">
        <v>0</v>
      </c>
      <c r="J39" s="71">
        <v>0</v>
      </c>
      <c r="K39" s="71">
        <v>1942500</v>
      </c>
      <c r="L39" s="71">
        <v>6510000</v>
      </c>
      <c r="M39" s="71">
        <v>0</v>
      </c>
      <c r="N39" s="71">
        <v>0</v>
      </c>
      <c r="O39" s="72">
        <v>17787027</v>
      </c>
    </row>
    <row r="40" spans="1:15" ht="22.5" x14ac:dyDescent="0.25">
      <c r="A40" s="70">
        <v>35</v>
      </c>
      <c r="B40" s="6" t="s">
        <v>275</v>
      </c>
      <c r="C40" s="71">
        <v>0</v>
      </c>
      <c r="D40" s="71">
        <v>0</v>
      </c>
      <c r="E40" s="71">
        <v>0</v>
      </c>
      <c r="F40" s="71">
        <v>0</v>
      </c>
      <c r="G40" s="71">
        <v>134400</v>
      </c>
      <c r="H40" s="71">
        <v>0</v>
      </c>
      <c r="I40" s="71">
        <v>0</v>
      </c>
      <c r="J40" s="71">
        <v>0</v>
      </c>
      <c r="K40" s="71">
        <v>0</v>
      </c>
      <c r="L40" s="71">
        <v>6510000</v>
      </c>
      <c r="M40" s="71">
        <v>0</v>
      </c>
      <c r="N40" s="71">
        <v>0</v>
      </c>
      <c r="O40" s="72">
        <v>6644400</v>
      </c>
    </row>
    <row r="41" spans="1:15" ht="22.5" x14ac:dyDescent="0.25">
      <c r="A41" s="70">
        <v>36</v>
      </c>
      <c r="B41" s="6" t="s">
        <v>276</v>
      </c>
      <c r="C41" s="71">
        <v>875070</v>
      </c>
      <c r="D41" s="71">
        <v>1995000</v>
      </c>
      <c r="E41" s="71">
        <v>240190</v>
      </c>
      <c r="F41" s="71">
        <v>36857730</v>
      </c>
      <c r="G41" s="71">
        <v>235200</v>
      </c>
      <c r="H41" s="71">
        <v>5670000</v>
      </c>
      <c r="I41" s="71">
        <v>89250000</v>
      </c>
      <c r="J41" s="71">
        <v>5250000</v>
      </c>
      <c r="K41" s="71">
        <v>3885000</v>
      </c>
      <c r="L41" s="71">
        <v>13020000</v>
      </c>
      <c r="M41" s="71">
        <v>3360000</v>
      </c>
      <c r="N41" s="71">
        <v>28875000</v>
      </c>
      <c r="O41" s="72">
        <v>189513190</v>
      </c>
    </row>
    <row r="42" spans="1:15" ht="22.5" x14ac:dyDescent="0.25">
      <c r="A42" s="70">
        <v>37</v>
      </c>
      <c r="B42" s="6" t="s">
        <v>277</v>
      </c>
      <c r="C42" s="71">
        <v>875070</v>
      </c>
      <c r="D42" s="71">
        <v>1995000</v>
      </c>
      <c r="E42" s="71">
        <v>0</v>
      </c>
      <c r="F42" s="71">
        <v>9214433</v>
      </c>
      <c r="G42" s="71">
        <v>168000</v>
      </c>
      <c r="H42" s="71">
        <v>1134000</v>
      </c>
      <c r="I42" s="71">
        <v>0</v>
      </c>
      <c r="J42" s="71">
        <v>7875000</v>
      </c>
      <c r="K42" s="71">
        <v>5827500</v>
      </c>
      <c r="L42" s="71">
        <v>0</v>
      </c>
      <c r="M42" s="71">
        <v>0</v>
      </c>
      <c r="N42" s="71">
        <v>28875000</v>
      </c>
      <c r="O42" s="72">
        <v>55964003</v>
      </c>
    </row>
    <row r="43" spans="1:15" ht="22.5" x14ac:dyDescent="0.25">
      <c r="A43" s="70">
        <v>38</v>
      </c>
      <c r="B43" s="6" t="s">
        <v>278</v>
      </c>
      <c r="C43" s="71">
        <v>0</v>
      </c>
      <c r="D43" s="71">
        <v>1995000</v>
      </c>
      <c r="E43" s="71">
        <v>120095</v>
      </c>
      <c r="F43" s="71">
        <v>0</v>
      </c>
      <c r="G43" s="71">
        <v>33600</v>
      </c>
      <c r="H43" s="71">
        <v>1134000</v>
      </c>
      <c r="I43" s="71">
        <v>89250000</v>
      </c>
      <c r="J43" s="71">
        <v>0</v>
      </c>
      <c r="K43" s="71">
        <v>3885000</v>
      </c>
      <c r="L43" s="71">
        <v>13020000</v>
      </c>
      <c r="M43" s="71">
        <v>3360000</v>
      </c>
      <c r="N43" s="71">
        <v>28875000</v>
      </c>
      <c r="O43" s="72">
        <v>141672695</v>
      </c>
    </row>
    <row r="44" spans="1:15" ht="21" x14ac:dyDescent="0.25">
      <c r="A44" s="70">
        <v>39</v>
      </c>
      <c r="B44" s="7" t="s">
        <v>279</v>
      </c>
      <c r="C44" s="71">
        <v>145845</v>
      </c>
      <c r="D44" s="71">
        <v>0</v>
      </c>
      <c r="E44" s="71">
        <v>0</v>
      </c>
      <c r="F44" s="71">
        <v>0</v>
      </c>
      <c r="G44" s="71">
        <v>0</v>
      </c>
      <c r="H44" s="71">
        <v>567000</v>
      </c>
      <c r="I44" s="71">
        <v>0</v>
      </c>
      <c r="J44" s="71">
        <v>0</v>
      </c>
      <c r="K44" s="71">
        <v>0</v>
      </c>
      <c r="L44" s="71">
        <v>0</v>
      </c>
      <c r="M44" s="71">
        <v>0</v>
      </c>
      <c r="N44" s="71">
        <v>0</v>
      </c>
      <c r="O44" s="72">
        <v>712845</v>
      </c>
    </row>
    <row r="45" spans="1:15" ht="31.5" x14ac:dyDescent="0.25">
      <c r="A45" s="70">
        <v>40</v>
      </c>
      <c r="B45" s="7" t="s">
        <v>280</v>
      </c>
      <c r="C45" s="71">
        <v>0</v>
      </c>
      <c r="D45" s="71">
        <v>0</v>
      </c>
      <c r="E45" s="71">
        <v>0</v>
      </c>
      <c r="F45" s="71">
        <v>0</v>
      </c>
      <c r="G45" s="71">
        <v>0</v>
      </c>
      <c r="H45" s="71">
        <v>0</v>
      </c>
      <c r="I45" s="71">
        <v>0</v>
      </c>
      <c r="J45" s="71">
        <v>0</v>
      </c>
      <c r="K45" s="71">
        <v>0</v>
      </c>
      <c r="L45" s="71">
        <v>0</v>
      </c>
      <c r="M45" s="71">
        <v>0</v>
      </c>
      <c r="N45" s="71">
        <v>0</v>
      </c>
      <c r="O45" s="72">
        <v>0</v>
      </c>
    </row>
    <row r="46" spans="1:15" x14ac:dyDescent="0.25">
      <c r="A46" s="1128" t="s">
        <v>297</v>
      </c>
      <c r="B46" s="1128"/>
      <c r="C46" s="74">
        <v>6125490</v>
      </c>
      <c r="D46" s="74">
        <v>11970000</v>
      </c>
      <c r="E46" s="74">
        <v>3963128</v>
      </c>
      <c r="F46" s="74">
        <v>359362868</v>
      </c>
      <c r="G46" s="74">
        <v>1377600</v>
      </c>
      <c r="H46" s="74">
        <v>34020000</v>
      </c>
      <c r="I46" s="74">
        <v>267750000</v>
      </c>
      <c r="J46" s="74">
        <v>23625000</v>
      </c>
      <c r="K46" s="74">
        <v>29137500</v>
      </c>
      <c r="L46" s="74">
        <v>208320000</v>
      </c>
      <c r="M46" s="74">
        <v>10080000</v>
      </c>
      <c r="N46" s="74">
        <v>144375000</v>
      </c>
      <c r="O46" s="74">
        <v>1100106586</v>
      </c>
    </row>
    <row r="47" spans="1:15" x14ac:dyDescent="0.25">
      <c r="A47" s="1124" t="s">
        <v>282</v>
      </c>
      <c r="B47" s="1124"/>
      <c r="C47" s="74">
        <v>980078</v>
      </c>
      <c r="D47" s="74">
        <v>1915200</v>
      </c>
      <c r="E47" s="74">
        <v>634101</v>
      </c>
      <c r="F47" s="74">
        <v>57498059</v>
      </c>
      <c r="G47" s="74">
        <v>220416</v>
      </c>
      <c r="H47" s="74">
        <v>5443200</v>
      </c>
      <c r="I47" s="74">
        <v>42840000</v>
      </c>
      <c r="J47" s="74">
        <v>3780000</v>
      </c>
      <c r="K47" s="74">
        <v>4662000</v>
      </c>
      <c r="L47" s="74">
        <v>33331200</v>
      </c>
      <c r="M47" s="74">
        <v>1612800</v>
      </c>
      <c r="N47" s="74">
        <v>23100000</v>
      </c>
      <c r="O47" s="74">
        <v>176017054</v>
      </c>
    </row>
    <row r="48" spans="1:15" x14ac:dyDescent="0.25">
      <c r="A48" s="1124" t="s">
        <v>298</v>
      </c>
      <c r="B48" s="1124"/>
      <c r="C48" s="74">
        <v>7105568</v>
      </c>
      <c r="D48" s="74">
        <v>13885200</v>
      </c>
      <c r="E48" s="74">
        <v>4597229</v>
      </c>
      <c r="F48" s="74">
        <v>416860926</v>
      </c>
      <c r="G48" s="74">
        <v>1598016</v>
      </c>
      <c r="H48" s="74">
        <v>39463200</v>
      </c>
      <c r="I48" s="74">
        <v>310590000</v>
      </c>
      <c r="J48" s="74">
        <v>27405000</v>
      </c>
      <c r="K48" s="74">
        <v>33799500</v>
      </c>
      <c r="L48" s="74">
        <v>241651200</v>
      </c>
      <c r="M48" s="74">
        <v>11692800</v>
      </c>
      <c r="N48" s="74">
        <v>167475000</v>
      </c>
      <c r="O48" s="74">
        <v>1276123640</v>
      </c>
    </row>
    <row r="49" spans="1:15" x14ac:dyDescent="0.25">
      <c r="A49" s="1129" t="s">
        <v>161</v>
      </c>
      <c r="B49" s="1129"/>
      <c r="C49" s="1129"/>
      <c r="D49" s="1129"/>
      <c r="E49" s="1129"/>
      <c r="F49" s="1129"/>
      <c r="G49" s="1129"/>
      <c r="H49" s="1129"/>
      <c r="I49" s="1129"/>
      <c r="J49" s="1129"/>
      <c r="K49" s="1129"/>
      <c r="L49" s="1129"/>
      <c r="M49" s="1129" t="s">
        <v>1389</v>
      </c>
      <c r="N49" s="1129"/>
      <c r="O49" s="1129"/>
    </row>
  </sheetData>
  <mergeCells count="22">
    <mergeCell ref="N3:N5"/>
    <mergeCell ref="A46:B46"/>
    <mergeCell ref="A47:B47"/>
    <mergeCell ref="A48:B48"/>
    <mergeCell ref="A49:L49"/>
    <mergeCell ref="M49:O49"/>
    <mergeCell ref="A1:O1"/>
    <mergeCell ref="A2:O2"/>
    <mergeCell ref="A3:A5"/>
    <mergeCell ref="B3:B5"/>
    <mergeCell ref="C3:C5"/>
    <mergeCell ref="D3:D5"/>
    <mergeCell ref="E3:E5"/>
    <mergeCell ref="F3:F5"/>
    <mergeCell ref="G3:G5"/>
    <mergeCell ref="H3:H5"/>
    <mergeCell ref="O3:O5"/>
    <mergeCell ref="I3:I5"/>
    <mergeCell ref="J3:J5"/>
    <mergeCell ref="K3:K5"/>
    <mergeCell ref="L3:L5"/>
    <mergeCell ref="M3:M5"/>
  </mergeCells>
  <printOptions horizontalCentered="1"/>
  <pageMargins left="0.94" right="0.9" top="1.08" bottom="1.04" header="0.3" footer="0.3"/>
  <pageSetup paperSize="5" scale="85" orientation="landscape" r:id="rId1"/>
  <headerFooter>
    <oddFooter xml:space="preserve">&amp;C41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F0"/>
  </sheetPr>
  <dimension ref="A1:K49"/>
  <sheetViews>
    <sheetView view="pageLayout" zoomScaleNormal="100" workbookViewId="0">
      <selection sqref="A1:K49"/>
    </sheetView>
  </sheetViews>
  <sheetFormatPr baseColWidth="10" defaultRowHeight="15" x14ac:dyDescent="0.25"/>
  <cols>
    <col min="1" max="1" width="4.7109375" style="152" bestFit="1" customWidth="1"/>
    <col min="2" max="2" width="19.85546875" style="152" customWidth="1"/>
    <col min="3" max="3" width="4.7109375" style="152" bestFit="1" customWidth="1"/>
    <col min="4" max="4" width="9.5703125" style="152" customWidth="1"/>
    <col min="5" max="5" width="11" style="152" customWidth="1"/>
    <col min="6" max="6" width="4.7109375" style="152" bestFit="1" customWidth="1"/>
    <col min="7" max="7" width="8.85546875" style="152" customWidth="1"/>
    <col min="8" max="8" width="10.42578125" style="152" customWidth="1"/>
    <col min="9" max="9" width="4.7109375" style="152" bestFit="1" customWidth="1"/>
    <col min="10" max="10" width="8.85546875" style="152" customWidth="1"/>
    <col min="11" max="11" width="12" style="152" customWidth="1"/>
    <col min="12" max="16384" width="11.42578125" style="152"/>
  </cols>
  <sheetData>
    <row r="1" spans="1:11" x14ac:dyDescent="0.25">
      <c r="A1" s="873" t="s">
        <v>232</v>
      </c>
      <c r="B1" s="873"/>
      <c r="C1" s="873"/>
      <c r="D1" s="873"/>
      <c r="E1" s="873"/>
      <c r="F1" s="873"/>
      <c r="G1" s="873"/>
      <c r="H1" s="873"/>
      <c r="I1" s="873"/>
      <c r="J1" s="873"/>
      <c r="K1" s="873"/>
    </row>
    <row r="2" spans="1:11" x14ac:dyDescent="0.25">
      <c r="A2" s="867" t="s">
        <v>1434</v>
      </c>
      <c r="B2" s="867"/>
      <c r="C2" s="867"/>
      <c r="D2" s="867"/>
      <c r="E2" s="867"/>
      <c r="F2" s="867"/>
      <c r="G2" s="867"/>
      <c r="H2" s="867"/>
      <c r="I2" s="867"/>
      <c r="J2" s="867"/>
      <c r="K2" s="867"/>
    </row>
    <row r="3" spans="1:11" x14ac:dyDescent="0.25">
      <c r="A3" s="874" t="s">
        <v>233</v>
      </c>
      <c r="B3" s="874" t="s">
        <v>234</v>
      </c>
      <c r="C3" s="872" t="s">
        <v>1483</v>
      </c>
      <c r="D3" s="872"/>
      <c r="E3" s="872"/>
      <c r="F3" s="872"/>
      <c r="G3" s="872"/>
      <c r="H3" s="872"/>
      <c r="I3" s="872"/>
      <c r="J3" s="872"/>
      <c r="K3" s="872"/>
    </row>
    <row r="4" spans="1:11" x14ac:dyDescent="0.25">
      <c r="A4" s="875"/>
      <c r="B4" s="875"/>
      <c r="C4" s="872" t="s">
        <v>236</v>
      </c>
      <c r="D4" s="872"/>
      <c r="E4" s="872"/>
      <c r="F4" s="872" t="s">
        <v>237</v>
      </c>
      <c r="G4" s="872"/>
      <c r="H4" s="872"/>
      <c r="I4" s="872" t="s">
        <v>238</v>
      </c>
      <c r="J4" s="872"/>
      <c r="K4" s="872"/>
    </row>
    <row r="5" spans="1:11" ht="24" x14ac:dyDescent="0.25">
      <c r="A5" s="876"/>
      <c r="B5" s="876"/>
      <c r="C5" s="184" t="s">
        <v>240</v>
      </c>
      <c r="D5" s="184" t="s">
        <v>239</v>
      </c>
      <c r="E5" s="184" t="s">
        <v>180</v>
      </c>
      <c r="F5" s="184" t="s">
        <v>240</v>
      </c>
      <c r="G5" s="184" t="s">
        <v>239</v>
      </c>
      <c r="H5" s="184" t="s">
        <v>180</v>
      </c>
      <c r="I5" s="184" t="s">
        <v>240</v>
      </c>
      <c r="J5" s="184" t="s">
        <v>239</v>
      </c>
      <c r="K5" s="184" t="s">
        <v>180</v>
      </c>
    </row>
    <row r="6" spans="1:11" ht="18" customHeight="1" x14ac:dyDescent="0.25">
      <c r="A6" s="146">
        <v>1</v>
      </c>
      <c r="B6" s="147" t="s">
        <v>241</v>
      </c>
      <c r="C6" s="143">
        <v>4</v>
      </c>
      <c r="D6" s="144">
        <v>51215</v>
      </c>
      <c r="E6" s="144">
        <f>D6*C6</f>
        <v>204860</v>
      </c>
      <c r="F6" s="143">
        <v>4</v>
      </c>
      <c r="G6" s="144">
        <v>51215</v>
      </c>
      <c r="H6" s="144">
        <f>G6*F6</f>
        <v>204860</v>
      </c>
      <c r="I6" s="143">
        <v>4</v>
      </c>
      <c r="J6" s="144">
        <v>51215</v>
      </c>
      <c r="K6" s="144">
        <f>J6*I6</f>
        <v>204860</v>
      </c>
    </row>
    <row r="7" spans="1:11" ht="18" customHeight="1" x14ac:dyDescent="0.25">
      <c r="A7" s="146">
        <v>2</v>
      </c>
      <c r="B7" s="147" t="s">
        <v>242</v>
      </c>
      <c r="C7" s="143">
        <v>50</v>
      </c>
      <c r="D7" s="144">
        <v>51215</v>
      </c>
      <c r="E7" s="144">
        <f t="shared" ref="E7:E45" si="0">D7*C7</f>
        <v>2560750</v>
      </c>
      <c r="F7" s="143">
        <v>50</v>
      </c>
      <c r="G7" s="144">
        <v>51215</v>
      </c>
      <c r="H7" s="144">
        <f t="shared" ref="H7:H45" si="1">G7*F7</f>
        <v>2560750</v>
      </c>
      <c r="I7" s="143">
        <v>50</v>
      </c>
      <c r="J7" s="144">
        <v>51215</v>
      </c>
      <c r="K7" s="144">
        <f t="shared" ref="K7:K45" si="2">J7*I7</f>
        <v>2560750</v>
      </c>
    </row>
    <row r="8" spans="1:11" ht="18" customHeight="1" x14ac:dyDescent="0.25">
      <c r="A8" s="146">
        <v>3</v>
      </c>
      <c r="B8" s="147" t="s">
        <v>243</v>
      </c>
      <c r="C8" s="143">
        <v>4</v>
      </c>
      <c r="D8" s="144">
        <v>51215</v>
      </c>
      <c r="E8" s="144">
        <f t="shared" si="0"/>
        <v>204860</v>
      </c>
      <c r="F8" s="143">
        <v>4</v>
      </c>
      <c r="G8" s="144">
        <v>51215</v>
      </c>
      <c r="H8" s="144">
        <f t="shared" si="1"/>
        <v>204860</v>
      </c>
      <c r="I8" s="143">
        <v>4</v>
      </c>
      <c r="J8" s="144">
        <v>51215</v>
      </c>
      <c r="K8" s="144">
        <f t="shared" si="2"/>
        <v>204860</v>
      </c>
    </row>
    <row r="9" spans="1:11" ht="18" customHeight="1" x14ac:dyDescent="0.25">
      <c r="A9" s="146">
        <v>4</v>
      </c>
      <c r="B9" s="147" t="s">
        <v>244</v>
      </c>
      <c r="C9" s="143">
        <v>4</v>
      </c>
      <c r="D9" s="144">
        <v>51215</v>
      </c>
      <c r="E9" s="144">
        <f t="shared" si="0"/>
        <v>204860</v>
      </c>
      <c r="F9" s="143">
        <v>4</v>
      </c>
      <c r="G9" s="144">
        <v>51215</v>
      </c>
      <c r="H9" s="144">
        <f t="shared" si="1"/>
        <v>204860</v>
      </c>
      <c r="I9" s="143">
        <v>4</v>
      </c>
      <c r="J9" s="144">
        <v>51215</v>
      </c>
      <c r="K9" s="144">
        <f t="shared" si="2"/>
        <v>204860</v>
      </c>
    </row>
    <row r="10" spans="1:11" ht="18" customHeight="1" x14ac:dyDescent="0.25">
      <c r="A10" s="146">
        <v>5</v>
      </c>
      <c r="B10" s="147" t="s">
        <v>245</v>
      </c>
      <c r="C10" s="143">
        <v>4</v>
      </c>
      <c r="D10" s="144">
        <v>51215</v>
      </c>
      <c r="E10" s="144">
        <f t="shared" si="0"/>
        <v>204860</v>
      </c>
      <c r="F10" s="143">
        <v>4</v>
      </c>
      <c r="G10" s="144">
        <v>51215</v>
      </c>
      <c r="H10" s="144">
        <f t="shared" si="1"/>
        <v>204860</v>
      </c>
      <c r="I10" s="143">
        <v>4</v>
      </c>
      <c r="J10" s="144">
        <v>51215</v>
      </c>
      <c r="K10" s="144">
        <f t="shared" si="2"/>
        <v>204860</v>
      </c>
    </row>
    <row r="11" spans="1:11" ht="18" customHeight="1" x14ac:dyDescent="0.25">
      <c r="A11" s="146">
        <v>6</v>
      </c>
      <c r="B11" s="147" t="s">
        <v>246</v>
      </c>
      <c r="C11" s="143">
        <v>4</v>
      </c>
      <c r="D11" s="144">
        <v>51215</v>
      </c>
      <c r="E11" s="144">
        <f t="shared" si="0"/>
        <v>204860</v>
      </c>
      <c r="F11" s="143">
        <v>4</v>
      </c>
      <c r="G11" s="144">
        <v>51215</v>
      </c>
      <c r="H11" s="144">
        <f t="shared" si="1"/>
        <v>204860</v>
      </c>
      <c r="I11" s="143">
        <v>4</v>
      </c>
      <c r="J11" s="144">
        <v>51215</v>
      </c>
      <c r="K11" s="144">
        <f t="shared" si="2"/>
        <v>204860</v>
      </c>
    </row>
    <row r="12" spans="1:11" ht="18" customHeight="1" x14ac:dyDescent="0.25">
      <c r="A12" s="146">
        <v>7</v>
      </c>
      <c r="B12" s="193" t="s">
        <v>247</v>
      </c>
      <c r="C12" s="143">
        <v>4</v>
      </c>
      <c r="D12" s="144">
        <v>51215</v>
      </c>
      <c r="E12" s="144">
        <f t="shared" si="0"/>
        <v>204860</v>
      </c>
      <c r="F12" s="143">
        <v>4</v>
      </c>
      <c r="G12" s="144">
        <v>51215</v>
      </c>
      <c r="H12" s="144">
        <f t="shared" si="1"/>
        <v>204860</v>
      </c>
      <c r="I12" s="143">
        <v>4</v>
      </c>
      <c r="J12" s="144">
        <v>51215</v>
      </c>
      <c r="K12" s="144">
        <f t="shared" si="2"/>
        <v>204860</v>
      </c>
    </row>
    <row r="13" spans="1:11" ht="18" customHeight="1" x14ac:dyDescent="0.25">
      <c r="A13" s="146">
        <v>8</v>
      </c>
      <c r="B13" s="147" t="s">
        <v>248</v>
      </c>
      <c r="C13" s="143">
        <v>4</v>
      </c>
      <c r="D13" s="144">
        <v>51215</v>
      </c>
      <c r="E13" s="144">
        <f t="shared" si="0"/>
        <v>204860</v>
      </c>
      <c r="F13" s="143">
        <v>4</v>
      </c>
      <c r="G13" s="144">
        <v>51215</v>
      </c>
      <c r="H13" s="144">
        <f t="shared" si="1"/>
        <v>204860</v>
      </c>
      <c r="I13" s="143">
        <v>4</v>
      </c>
      <c r="J13" s="144">
        <v>51215</v>
      </c>
      <c r="K13" s="144">
        <f t="shared" si="2"/>
        <v>204860</v>
      </c>
    </row>
    <row r="14" spans="1:11" ht="18" customHeight="1" x14ac:dyDescent="0.25">
      <c r="A14" s="146">
        <v>9</v>
      </c>
      <c r="B14" s="193" t="s">
        <v>249</v>
      </c>
      <c r="C14" s="143">
        <v>4</v>
      </c>
      <c r="D14" s="144">
        <v>51215</v>
      </c>
      <c r="E14" s="144">
        <f t="shared" si="0"/>
        <v>204860</v>
      </c>
      <c r="F14" s="143">
        <v>4</v>
      </c>
      <c r="G14" s="144">
        <v>51215</v>
      </c>
      <c r="H14" s="144">
        <f t="shared" si="1"/>
        <v>204860</v>
      </c>
      <c r="I14" s="143">
        <v>4</v>
      </c>
      <c r="J14" s="144">
        <v>51215</v>
      </c>
      <c r="K14" s="144">
        <f t="shared" si="2"/>
        <v>204860</v>
      </c>
    </row>
    <row r="15" spans="1:11" ht="18" customHeight="1" x14ac:dyDescent="0.25">
      <c r="A15" s="146">
        <v>10</v>
      </c>
      <c r="B15" s="147" t="s">
        <v>250</v>
      </c>
      <c r="C15" s="143">
        <v>4</v>
      </c>
      <c r="D15" s="144">
        <v>51215</v>
      </c>
      <c r="E15" s="144">
        <f t="shared" si="0"/>
        <v>204860</v>
      </c>
      <c r="F15" s="143">
        <v>4</v>
      </c>
      <c r="G15" s="144">
        <v>51215</v>
      </c>
      <c r="H15" s="144">
        <f t="shared" si="1"/>
        <v>204860</v>
      </c>
      <c r="I15" s="143">
        <v>4</v>
      </c>
      <c r="J15" s="144">
        <v>51215</v>
      </c>
      <c r="K15" s="144">
        <f t="shared" si="2"/>
        <v>204860</v>
      </c>
    </row>
    <row r="16" spans="1:11" ht="18" customHeight="1" x14ac:dyDescent="0.25">
      <c r="A16" s="146">
        <v>11</v>
      </c>
      <c r="B16" s="147" t="s">
        <v>251</v>
      </c>
      <c r="C16" s="143">
        <v>4</v>
      </c>
      <c r="D16" s="144">
        <v>51215</v>
      </c>
      <c r="E16" s="144">
        <f t="shared" si="0"/>
        <v>204860</v>
      </c>
      <c r="F16" s="143">
        <v>4</v>
      </c>
      <c r="G16" s="144">
        <v>51215</v>
      </c>
      <c r="H16" s="144">
        <f t="shared" si="1"/>
        <v>204860</v>
      </c>
      <c r="I16" s="143">
        <v>4</v>
      </c>
      <c r="J16" s="144">
        <v>51215</v>
      </c>
      <c r="K16" s="144">
        <f t="shared" si="2"/>
        <v>204860</v>
      </c>
    </row>
    <row r="17" spans="1:11" ht="18" customHeight="1" x14ac:dyDescent="0.25">
      <c r="A17" s="146">
        <v>12</v>
      </c>
      <c r="B17" s="147" t="s">
        <v>566</v>
      </c>
      <c r="C17" s="143">
        <v>4</v>
      </c>
      <c r="D17" s="144">
        <v>51215</v>
      </c>
      <c r="E17" s="144">
        <f t="shared" si="0"/>
        <v>204860</v>
      </c>
      <c r="F17" s="143">
        <v>4</v>
      </c>
      <c r="G17" s="144">
        <v>51215</v>
      </c>
      <c r="H17" s="144">
        <f t="shared" si="1"/>
        <v>204860</v>
      </c>
      <c r="I17" s="143">
        <v>4</v>
      </c>
      <c r="J17" s="144">
        <v>51215</v>
      </c>
      <c r="K17" s="144">
        <f t="shared" si="2"/>
        <v>204860</v>
      </c>
    </row>
    <row r="18" spans="1:11" ht="18" customHeight="1" x14ac:dyDescent="0.25">
      <c r="A18" s="146">
        <v>13</v>
      </c>
      <c r="B18" s="147" t="s">
        <v>253</v>
      </c>
      <c r="C18" s="143">
        <v>4</v>
      </c>
      <c r="D18" s="144">
        <v>51215</v>
      </c>
      <c r="E18" s="144">
        <f t="shared" si="0"/>
        <v>204860</v>
      </c>
      <c r="F18" s="143">
        <v>4</v>
      </c>
      <c r="G18" s="144">
        <v>51215</v>
      </c>
      <c r="H18" s="144">
        <f t="shared" si="1"/>
        <v>204860</v>
      </c>
      <c r="I18" s="143">
        <v>4</v>
      </c>
      <c r="J18" s="144">
        <v>51215</v>
      </c>
      <c r="K18" s="144">
        <f t="shared" si="2"/>
        <v>204860</v>
      </c>
    </row>
    <row r="19" spans="1:11" ht="18" customHeight="1" x14ac:dyDescent="0.25">
      <c r="A19" s="146">
        <v>14</v>
      </c>
      <c r="B19" s="193" t="s">
        <v>254</v>
      </c>
      <c r="C19" s="143">
        <v>4</v>
      </c>
      <c r="D19" s="144">
        <v>51215</v>
      </c>
      <c r="E19" s="144">
        <f t="shared" si="0"/>
        <v>204860</v>
      </c>
      <c r="F19" s="143">
        <v>4</v>
      </c>
      <c r="G19" s="144">
        <v>51215</v>
      </c>
      <c r="H19" s="144">
        <f t="shared" si="1"/>
        <v>204860</v>
      </c>
      <c r="I19" s="143">
        <v>4</v>
      </c>
      <c r="J19" s="144">
        <v>51215</v>
      </c>
      <c r="K19" s="144">
        <f t="shared" si="2"/>
        <v>204860</v>
      </c>
    </row>
    <row r="20" spans="1:11" ht="18" customHeight="1" x14ac:dyDescent="0.25">
      <c r="A20" s="146">
        <v>15</v>
      </c>
      <c r="B20" s="147" t="s">
        <v>255</v>
      </c>
      <c r="C20" s="143">
        <v>4</v>
      </c>
      <c r="D20" s="144">
        <v>51215</v>
      </c>
      <c r="E20" s="144">
        <f t="shared" si="0"/>
        <v>204860</v>
      </c>
      <c r="F20" s="143">
        <v>4</v>
      </c>
      <c r="G20" s="144">
        <v>51215</v>
      </c>
      <c r="H20" s="144">
        <f t="shared" si="1"/>
        <v>204860</v>
      </c>
      <c r="I20" s="143">
        <v>4</v>
      </c>
      <c r="J20" s="144">
        <v>51215</v>
      </c>
      <c r="K20" s="144">
        <f t="shared" si="2"/>
        <v>204860</v>
      </c>
    </row>
    <row r="21" spans="1:11" ht="18" customHeight="1" x14ac:dyDescent="0.25">
      <c r="A21" s="146">
        <v>16</v>
      </c>
      <c r="B21" s="147" t="s">
        <v>256</v>
      </c>
      <c r="C21" s="143">
        <v>4</v>
      </c>
      <c r="D21" s="144">
        <v>51215</v>
      </c>
      <c r="E21" s="144">
        <f t="shared" si="0"/>
        <v>204860</v>
      </c>
      <c r="F21" s="143">
        <v>4</v>
      </c>
      <c r="G21" s="144">
        <v>51215</v>
      </c>
      <c r="H21" s="144">
        <f t="shared" si="1"/>
        <v>204860</v>
      </c>
      <c r="I21" s="143">
        <v>4</v>
      </c>
      <c r="J21" s="144">
        <v>51215</v>
      </c>
      <c r="K21" s="144">
        <f t="shared" si="2"/>
        <v>204860</v>
      </c>
    </row>
    <row r="22" spans="1:11" ht="18" customHeight="1" x14ac:dyDescent="0.25">
      <c r="A22" s="146">
        <v>17</v>
      </c>
      <c r="B22" s="147" t="s">
        <v>257</v>
      </c>
      <c r="C22" s="143">
        <v>4</v>
      </c>
      <c r="D22" s="144">
        <v>51215</v>
      </c>
      <c r="E22" s="144">
        <f t="shared" si="0"/>
        <v>204860</v>
      </c>
      <c r="F22" s="143">
        <v>4</v>
      </c>
      <c r="G22" s="144">
        <v>51215</v>
      </c>
      <c r="H22" s="144">
        <f t="shared" si="1"/>
        <v>204860</v>
      </c>
      <c r="I22" s="143">
        <v>4</v>
      </c>
      <c r="J22" s="144">
        <v>51215</v>
      </c>
      <c r="K22" s="144">
        <f t="shared" si="2"/>
        <v>204860</v>
      </c>
    </row>
    <row r="23" spans="1:11" ht="18" customHeight="1" x14ac:dyDescent="0.25">
      <c r="A23" s="146">
        <v>18</v>
      </c>
      <c r="B23" s="147" t="s">
        <v>258</v>
      </c>
      <c r="C23" s="143">
        <v>4</v>
      </c>
      <c r="D23" s="144">
        <v>51215</v>
      </c>
      <c r="E23" s="144">
        <f t="shared" si="0"/>
        <v>204860</v>
      </c>
      <c r="F23" s="143">
        <v>4</v>
      </c>
      <c r="G23" s="144">
        <v>51215</v>
      </c>
      <c r="H23" s="144">
        <f t="shared" si="1"/>
        <v>204860</v>
      </c>
      <c r="I23" s="143">
        <v>4</v>
      </c>
      <c r="J23" s="144">
        <v>51215</v>
      </c>
      <c r="K23" s="144">
        <f t="shared" si="2"/>
        <v>204860</v>
      </c>
    </row>
    <row r="24" spans="1:11" ht="18" customHeight="1" x14ac:dyDescent="0.25">
      <c r="A24" s="146">
        <v>19</v>
      </c>
      <c r="B24" s="147" t="s">
        <v>259</v>
      </c>
      <c r="C24" s="143">
        <v>50</v>
      </c>
      <c r="D24" s="144">
        <v>51215</v>
      </c>
      <c r="E24" s="144">
        <f t="shared" si="0"/>
        <v>2560750</v>
      </c>
      <c r="F24" s="143">
        <v>50</v>
      </c>
      <c r="G24" s="144">
        <v>51215</v>
      </c>
      <c r="H24" s="144">
        <f t="shared" si="1"/>
        <v>2560750</v>
      </c>
      <c r="I24" s="143">
        <v>50</v>
      </c>
      <c r="J24" s="144">
        <v>51215</v>
      </c>
      <c r="K24" s="144">
        <f t="shared" si="2"/>
        <v>2560750</v>
      </c>
    </row>
    <row r="25" spans="1:11" ht="18" customHeight="1" x14ac:dyDescent="0.25">
      <c r="A25" s="146">
        <v>20</v>
      </c>
      <c r="B25" s="147" t="s">
        <v>260</v>
      </c>
      <c r="C25" s="143">
        <v>4</v>
      </c>
      <c r="D25" s="144">
        <v>51215</v>
      </c>
      <c r="E25" s="144">
        <f t="shared" si="0"/>
        <v>204860</v>
      </c>
      <c r="F25" s="143">
        <v>4</v>
      </c>
      <c r="G25" s="144">
        <v>51215</v>
      </c>
      <c r="H25" s="144">
        <f t="shared" si="1"/>
        <v>204860</v>
      </c>
      <c r="I25" s="143">
        <v>4</v>
      </c>
      <c r="J25" s="144">
        <v>51215</v>
      </c>
      <c r="K25" s="144">
        <f t="shared" si="2"/>
        <v>204860</v>
      </c>
    </row>
    <row r="26" spans="1:11" ht="18" customHeight="1" x14ac:dyDescent="0.25">
      <c r="A26" s="146">
        <v>21</v>
      </c>
      <c r="B26" s="147" t="s">
        <v>261</v>
      </c>
      <c r="C26" s="143">
        <v>4</v>
      </c>
      <c r="D26" s="144">
        <v>51215</v>
      </c>
      <c r="E26" s="144">
        <f t="shared" si="0"/>
        <v>204860</v>
      </c>
      <c r="F26" s="143">
        <v>4</v>
      </c>
      <c r="G26" s="144">
        <v>51215</v>
      </c>
      <c r="H26" s="144">
        <f t="shared" si="1"/>
        <v>204860</v>
      </c>
      <c r="I26" s="143">
        <v>4</v>
      </c>
      <c r="J26" s="144">
        <v>51215</v>
      </c>
      <c r="K26" s="144">
        <f t="shared" si="2"/>
        <v>204860</v>
      </c>
    </row>
    <row r="27" spans="1:11" ht="18" customHeight="1" x14ac:dyDescent="0.25">
      <c r="A27" s="146">
        <v>22</v>
      </c>
      <c r="B27" s="147" t="s">
        <v>262</v>
      </c>
      <c r="C27" s="143">
        <v>4</v>
      </c>
      <c r="D27" s="144">
        <v>51215</v>
      </c>
      <c r="E27" s="144">
        <f t="shared" si="0"/>
        <v>204860</v>
      </c>
      <c r="F27" s="143">
        <v>4</v>
      </c>
      <c r="G27" s="144">
        <v>51215</v>
      </c>
      <c r="H27" s="144">
        <f t="shared" si="1"/>
        <v>204860</v>
      </c>
      <c r="I27" s="143">
        <v>4</v>
      </c>
      <c r="J27" s="144">
        <v>51215</v>
      </c>
      <c r="K27" s="144">
        <f t="shared" si="2"/>
        <v>204860</v>
      </c>
    </row>
    <row r="28" spans="1:11" ht="18" customHeight="1" x14ac:dyDescent="0.25">
      <c r="A28" s="146">
        <v>23</v>
      </c>
      <c r="B28" s="147" t="s">
        <v>263</v>
      </c>
      <c r="C28" s="143">
        <v>4</v>
      </c>
      <c r="D28" s="144">
        <v>51215</v>
      </c>
      <c r="E28" s="144">
        <f t="shared" si="0"/>
        <v>204860</v>
      </c>
      <c r="F28" s="143">
        <v>4</v>
      </c>
      <c r="G28" s="144">
        <v>51215</v>
      </c>
      <c r="H28" s="144">
        <f t="shared" si="1"/>
        <v>204860</v>
      </c>
      <c r="I28" s="143">
        <v>4</v>
      </c>
      <c r="J28" s="144">
        <v>51215</v>
      </c>
      <c r="K28" s="144">
        <f t="shared" si="2"/>
        <v>204860</v>
      </c>
    </row>
    <row r="29" spans="1:11" ht="18" customHeight="1" x14ac:dyDescent="0.25">
      <c r="A29" s="146">
        <v>24</v>
      </c>
      <c r="B29" s="147" t="s">
        <v>264</v>
      </c>
      <c r="C29" s="143">
        <v>4</v>
      </c>
      <c r="D29" s="144">
        <v>51215</v>
      </c>
      <c r="E29" s="144">
        <f t="shared" si="0"/>
        <v>204860</v>
      </c>
      <c r="F29" s="143">
        <v>4</v>
      </c>
      <c r="G29" s="144">
        <v>51215</v>
      </c>
      <c r="H29" s="144">
        <f t="shared" si="1"/>
        <v>204860</v>
      </c>
      <c r="I29" s="143">
        <v>4</v>
      </c>
      <c r="J29" s="144">
        <v>51215</v>
      </c>
      <c r="K29" s="144">
        <f t="shared" si="2"/>
        <v>204860</v>
      </c>
    </row>
    <row r="30" spans="1:11" ht="18" customHeight="1" x14ac:dyDescent="0.25">
      <c r="A30" s="146">
        <v>25</v>
      </c>
      <c r="B30" s="147" t="s">
        <v>265</v>
      </c>
      <c r="C30" s="143">
        <v>50</v>
      </c>
      <c r="D30" s="144">
        <v>51215</v>
      </c>
      <c r="E30" s="144">
        <f t="shared" si="0"/>
        <v>2560750</v>
      </c>
      <c r="F30" s="143">
        <v>50</v>
      </c>
      <c r="G30" s="144">
        <v>51215</v>
      </c>
      <c r="H30" s="144">
        <f t="shared" si="1"/>
        <v>2560750</v>
      </c>
      <c r="I30" s="143">
        <v>50</v>
      </c>
      <c r="J30" s="144">
        <v>51215</v>
      </c>
      <c r="K30" s="144">
        <f t="shared" si="2"/>
        <v>2560750</v>
      </c>
    </row>
    <row r="31" spans="1:11" ht="18" customHeight="1" x14ac:dyDescent="0.25">
      <c r="A31" s="146">
        <v>26</v>
      </c>
      <c r="B31" s="147" t="s">
        <v>266</v>
      </c>
      <c r="C31" s="143">
        <v>4</v>
      </c>
      <c r="D31" s="144">
        <v>51215</v>
      </c>
      <c r="E31" s="144">
        <f t="shared" si="0"/>
        <v>204860</v>
      </c>
      <c r="F31" s="143">
        <v>4</v>
      </c>
      <c r="G31" s="144">
        <v>51215</v>
      </c>
      <c r="H31" s="144">
        <f t="shared" si="1"/>
        <v>204860</v>
      </c>
      <c r="I31" s="143">
        <v>4</v>
      </c>
      <c r="J31" s="144">
        <v>51215</v>
      </c>
      <c r="K31" s="144">
        <f t="shared" si="2"/>
        <v>204860</v>
      </c>
    </row>
    <row r="32" spans="1:11" ht="18" customHeight="1" x14ac:dyDescent="0.25">
      <c r="A32" s="146">
        <v>27</v>
      </c>
      <c r="B32" s="147" t="s">
        <v>267</v>
      </c>
      <c r="C32" s="143">
        <v>4</v>
      </c>
      <c r="D32" s="144">
        <v>51215</v>
      </c>
      <c r="E32" s="144">
        <f t="shared" si="0"/>
        <v>204860</v>
      </c>
      <c r="F32" s="143">
        <v>4</v>
      </c>
      <c r="G32" s="144">
        <v>51215</v>
      </c>
      <c r="H32" s="144">
        <f t="shared" si="1"/>
        <v>204860</v>
      </c>
      <c r="I32" s="143">
        <v>4</v>
      </c>
      <c r="J32" s="144">
        <v>51215</v>
      </c>
      <c r="K32" s="144">
        <f t="shared" si="2"/>
        <v>204860</v>
      </c>
    </row>
    <row r="33" spans="1:11" ht="18" customHeight="1" x14ac:dyDescent="0.25">
      <c r="A33" s="146">
        <v>28</v>
      </c>
      <c r="B33" s="147" t="s">
        <v>268</v>
      </c>
      <c r="C33" s="143">
        <v>4</v>
      </c>
      <c r="D33" s="144">
        <v>51215</v>
      </c>
      <c r="E33" s="144">
        <f t="shared" si="0"/>
        <v>204860</v>
      </c>
      <c r="F33" s="143">
        <v>4</v>
      </c>
      <c r="G33" s="144">
        <v>51215</v>
      </c>
      <c r="H33" s="144">
        <f t="shared" si="1"/>
        <v>204860</v>
      </c>
      <c r="I33" s="143">
        <v>4</v>
      </c>
      <c r="J33" s="144">
        <v>51215</v>
      </c>
      <c r="K33" s="144">
        <f t="shared" si="2"/>
        <v>204860</v>
      </c>
    </row>
    <row r="34" spans="1:11" ht="18" customHeight="1" x14ac:dyDescent="0.25">
      <c r="A34" s="146">
        <v>29</v>
      </c>
      <c r="B34" s="147" t="s">
        <v>269</v>
      </c>
      <c r="C34" s="143">
        <v>4</v>
      </c>
      <c r="D34" s="144">
        <v>51215</v>
      </c>
      <c r="E34" s="144">
        <f t="shared" si="0"/>
        <v>204860</v>
      </c>
      <c r="F34" s="143">
        <v>4</v>
      </c>
      <c r="G34" s="144">
        <v>51215</v>
      </c>
      <c r="H34" s="144">
        <f t="shared" si="1"/>
        <v>204860</v>
      </c>
      <c r="I34" s="143">
        <v>4</v>
      </c>
      <c r="J34" s="144">
        <v>51215</v>
      </c>
      <c r="K34" s="144">
        <f t="shared" si="2"/>
        <v>204860</v>
      </c>
    </row>
    <row r="35" spans="1:11" ht="18" customHeight="1" x14ac:dyDescent="0.25">
      <c r="A35" s="146">
        <v>30</v>
      </c>
      <c r="B35" s="147" t="s">
        <v>270</v>
      </c>
      <c r="C35" s="143">
        <v>4</v>
      </c>
      <c r="D35" s="144">
        <v>51215</v>
      </c>
      <c r="E35" s="144">
        <f t="shared" si="0"/>
        <v>204860</v>
      </c>
      <c r="F35" s="143">
        <v>4</v>
      </c>
      <c r="G35" s="144">
        <v>51215</v>
      </c>
      <c r="H35" s="144">
        <f t="shared" si="1"/>
        <v>204860</v>
      </c>
      <c r="I35" s="143">
        <v>4</v>
      </c>
      <c r="J35" s="144">
        <v>51215</v>
      </c>
      <c r="K35" s="144">
        <f t="shared" si="2"/>
        <v>204860</v>
      </c>
    </row>
    <row r="36" spans="1:11" ht="18" customHeight="1" x14ac:dyDescent="0.25">
      <c r="A36" s="146">
        <v>31</v>
      </c>
      <c r="B36" s="147" t="s">
        <v>271</v>
      </c>
      <c r="C36" s="143">
        <v>4</v>
      </c>
      <c r="D36" s="144">
        <v>51215</v>
      </c>
      <c r="E36" s="144">
        <f t="shared" si="0"/>
        <v>204860</v>
      </c>
      <c r="F36" s="143">
        <v>4</v>
      </c>
      <c r="G36" s="144">
        <v>51215</v>
      </c>
      <c r="H36" s="144">
        <f t="shared" si="1"/>
        <v>204860</v>
      </c>
      <c r="I36" s="143">
        <v>4</v>
      </c>
      <c r="J36" s="144">
        <v>51215</v>
      </c>
      <c r="K36" s="144">
        <f t="shared" si="2"/>
        <v>204860</v>
      </c>
    </row>
    <row r="37" spans="1:11" ht="18" customHeight="1" x14ac:dyDescent="0.25">
      <c r="A37" s="146">
        <v>32</v>
      </c>
      <c r="B37" s="147" t="s">
        <v>272</v>
      </c>
      <c r="C37" s="143">
        <v>4</v>
      </c>
      <c r="D37" s="144">
        <v>51215</v>
      </c>
      <c r="E37" s="144">
        <f t="shared" si="0"/>
        <v>204860</v>
      </c>
      <c r="F37" s="143">
        <v>4</v>
      </c>
      <c r="G37" s="144">
        <v>51215</v>
      </c>
      <c r="H37" s="144">
        <f t="shared" si="1"/>
        <v>204860</v>
      </c>
      <c r="I37" s="143">
        <v>4</v>
      </c>
      <c r="J37" s="144">
        <v>51215</v>
      </c>
      <c r="K37" s="144">
        <f t="shared" si="2"/>
        <v>204860</v>
      </c>
    </row>
    <row r="38" spans="1:11" ht="18" customHeight="1" x14ac:dyDescent="0.25">
      <c r="A38" s="146">
        <v>33</v>
      </c>
      <c r="B38" s="147" t="s">
        <v>273</v>
      </c>
      <c r="C38" s="143">
        <v>4</v>
      </c>
      <c r="D38" s="144">
        <v>51215</v>
      </c>
      <c r="E38" s="144">
        <f t="shared" si="0"/>
        <v>204860</v>
      </c>
      <c r="F38" s="143">
        <v>4</v>
      </c>
      <c r="G38" s="144">
        <v>51215</v>
      </c>
      <c r="H38" s="144">
        <f t="shared" si="1"/>
        <v>204860</v>
      </c>
      <c r="I38" s="143">
        <v>4</v>
      </c>
      <c r="J38" s="144">
        <v>51215</v>
      </c>
      <c r="K38" s="144">
        <f t="shared" si="2"/>
        <v>204860</v>
      </c>
    </row>
    <row r="39" spans="1:11" ht="18" customHeight="1" x14ac:dyDescent="0.25">
      <c r="A39" s="146">
        <v>34</v>
      </c>
      <c r="B39" s="147" t="s">
        <v>274</v>
      </c>
      <c r="C39" s="143">
        <v>4</v>
      </c>
      <c r="D39" s="144">
        <v>51215</v>
      </c>
      <c r="E39" s="144">
        <f t="shared" si="0"/>
        <v>204860</v>
      </c>
      <c r="F39" s="143">
        <v>4</v>
      </c>
      <c r="G39" s="144">
        <v>51215</v>
      </c>
      <c r="H39" s="144">
        <f t="shared" si="1"/>
        <v>204860</v>
      </c>
      <c r="I39" s="143">
        <v>4</v>
      </c>
      <c r="J39" s="144">
        <v>51215</v>
      </c>
      <c r="K39" s="144">
        <f t="shared" si="2"/>
        <v>204860</v>
      </c>
    </row>
    <row r="40" spans="1:11" ht="18" customHeight="1" x14ac:dyDescent="0.25">
      <c r="A40" s="146">
        <v>35</v>
      </c>
      <c r="B40" s="147" t="s">
        <v>275</v>
      </c>
      <c r="C40" s="143">
        <v>4</v>
      </c>
      <c r="D40" s="144">
        <v>51215</v>
      </c>
      <c r="E40" s="144">
        <f t="shared" si="0"/>
        <v>204860</v>
      </c>
      <c r="F40" s="143">
        <v>4</v>
      </c>
      <c r="G40" s="144">
        <v>51215</v>
      </c>
      <c r="H40" s="144">
        <f t="shared" si="1"/>
        <v>204860</v>
      </c>
      <c r="I40" s="143">
        <v>4</v>
      </c>
      <c r="J40" s="144">
        <v>51215</v>
      </c>
      <c r="K40" s="144">
        <f t="shared" si="2"/>
        <v>204860</v>
      </c>
    </row>
    <row r="41" spans="1:11" ht="18" customHeight="1" x14ac:dyDescent="0.25">
      <c r="A41" s="146">
        <v>36</v>
      </c>
      <c r="B41" s="147" t="s">
        <v>276</v>
      </c>
      <c r="C41" s="143">
        <v>50</v>
      </c>
      <c r="D41" s="144">
        <v>51215</v>
      </c>
      <c r="E41" s="144">
        <f t="shared" si="0"/>
        <v>2560750</v>
      </c>
      <c r="F41" s="143">
        <v>50</v>
      </c>
      <c r="G41" s="144">
        <v>51215</v>
      </c>
      <c r="H41" s="144">
        <f t="shared" si="1"/>
        <v>2560750</v>
      </c>
      <c r="I41" s="143">
        <v>50</v>
      </c>
      <c r="J41" s="144">
        <v>51215</v>
      </c>
      <c r="K41" s="144">
        <f t="shared" si="2"/>
        <v>2560750</v>
      </c>
    </row>
    <row r="42" spans="1:11" ht="18" customHeight="1" x14ac:dyDescent="0.25">
      <c r="A42" s="146">
        <v>25</v>
      </c>
      <c r="B42" s="147" t="s">
        <v>277</v>
      </c>
      <c r="C42" s="143">
        <v>50</v>
      </c>
      <c r="D42" s="144">
        <v>51215</v>
      </c>
      <c r="E42" s="144">
        <f t="shared" si="0"/>
        <v>2560750</v>
      </c>
      <c r="F42" s="143">
        <v>50</v>
      </c>
      <c r="G42" s="144">
        <v>51215</v>
      </c>
      <c r="H42" s="144">
        <f t="shared" si="1"/>
        <v>2560750</v>
      </c>
      <c r="I42" s="143">
        <v>50</v>
      </c>
      <c r="J42" s="144">
        <v>51215</v>
      </c>
      <c r="K42" s="144">
        <f t="shared" si="2"/>
        <v>2560750</v>
      </c>
    </row>
    <row r="43" spans="1:11" ht="18" customHeight="1" x14ac:dyDescent="0.25">
      <c r="A43" s="146">
        <v>38</v>
      </c>
      <c r="B43" s="147" t="s">
        <v>278</v>
      </c>
      <c r="C43" s="143">
        <v>50</v>
      </c>
      <c r="D43" s="144">
        <v>51215</v>
      </c>
      <c r="E43" s="144">
        <f t="shared" si="0"/>
        <v>2560750</v>
      </c>
      <c r="F43" s="143">
        <v>50</v>
      </c>
      <c r="G43" s="144">
        <v>51215</v>
      </c>
      <c r="H43" s="144">
        <f t="shared" si="1"/>
        <v>2560750</v>
      </c>
      <c r="I43" s="143">
        <v>50</v>
      </c>
      <c r="J43" s="144">
        <v>51215</v>
      </c>
      <c r="K43" s="144">
        <f t="shared" si="2"/>
        <v>2560750</v>
      </c>
    </row>
    <row r="44" spans="1:11" ht="18" customHeight="1" x14ac:dyDescent="0.25">
      <c r="A44" s="146">
        <v>39</v>
      </c>
      <c r="B44" s="193" t="s">
        <v>279</v>
      </c>
      <c r="C44" s="143">
        <v>4</v>
      </c>
      <c r="D44" s="144">
        <v>51215</v>
      </c>
      <c r="E44" s="144">
        <f t="shared" si="0"/>
        <v>204860</v>
      </c>
      <c r="F44" s="143">
        <v>4</v>
      </c>
      <c r="G44" s="144">
        <v>51215</v>
      </c>
      <c r="H44" s="144">
        <f t="shared" si="1"/>
        <v>204860</v>
      </c>
      <c r="I44" s="143">
        <v>4</v>
      </c>
      <c r="J44" s="144">
        <v>51215</v>
      </c>
      <c r="K44" s="144">
        <f t="shared" si="2"/>
        <v>204860</v>
      </c>
    </row>
    <row r="45" spans="1:11" ht="18" customHeight="1" x14ac:dyDescent="0.25">
      <c r="A45" s="146">
        <v>40</v>
      </c>
      <c r="B45" s="193" t="s">
        <v>280</v>
      </c>
      <c r="C45" s="143"/>
      <c r="D45" s="144">
        <v>51215</v>
      </c>
      <c r="E45" s="144">
        <f t="shared" si="0"/>
        <v>0</v>
      </c>
      <c r="F45" s="143"/>
      <c r="G45" s="144">
        <v>51215</v>
      </c>
      <c r="H45" s="144">
        <f t="shared" si="1"/>
        <v>0</v>
      </c>
      <c r="I45" s="143"/>
      <c r="J45" s="144">
        <v>51215</v>
      </c>
      <c r="K45" s="144">
        <f t="shared" si="2"/>
        <v>0</v>
      </c>
    </row>
    <row r="46" spans="1:11" ht="18" customHeight="1" x14ac:dyDescent="0.25">
      <c r="A46" s="197"/>
      <c r="B46" s="198" t="s">
        <v>281</v>
      </c>
      <c r="C46" s="199">
        <f>SUM(C6:C45)</f>
        <v>432</v>
      </c>
      <c r="D46" s="200"/>
      <c r="E46" s="200">
        <f>SUM(E6:E45)</f>
        <v>22124880</v>
      </c>
      <c r="F46" s="199">
        <f>SUM(F6:F45)</f>
        <v>432</v>
      </c>
      <c r="G46" s="200"/>
      <c r="H46" s="200">
        <f>SUM(H6:H45)</f>
        <v>22124880</v>
      </c>
      <c r="I46" s="199">
        <f>SUM(I6:I45)</f>
        <v>432</v>
      </c>
      <c r="J46" s="200"/>
      <c r="K46" s="151">
        <f>SUM(K6:K45)</f>
        <v>22124880</v>
      </c>
    </row>
    <row r="47" spans="1:11" ht="18" customHeight="1" x14ac:dyDescent="0.25">
      <c r="A47" s="188"/>
      <c r="B47" s="188"/>
      <c r="C47" s="188"/>
      <c r="D47" s="188"/>
      <c r="E47" s="188"/>
      <c r="F47" s="188"/>
      <c r="G47" s="201"/>
      <c r="H47" s="867" t="s">
        <v>284</v>
      </c>
      <c r="I47" s="867"/>
      <c r="J47" s="867"/>
      <c r="K47" s="202">
        <f>E46+H46+K46</f>
        <v>66374640</v>
      </c>
    </row>
    <row r="48" spans="1:11" ht="18" customHeight="1" x14ac:dyDescent="0.25">
      <c r="A48" s="190"/>
      <c r="B48" s="190"/>
      <c r="C48" s="190"/>
      <c r="D48" s="190"/>
      <c r="E48" s="190"/>
      <c r="F48" s="190"/>
      <c r="G48" s="190"/>
      <c r="H48" s="867" t="s">
        <v>282</v>
      </c>
      <c r="I48" s="867"/>
      <c r="J48" s="867"/>
      <c r="K48" s="202">
        <f>K47*16%</f>
        <v>10619942.4</v>
      </c>
    </row>
    <row r="49" spans="1:11" ht="18" customHeight="1" x14ac:dyDescent="0.25">
      <c r="A49" s="190"/>
      <c r="B49" s="190"/>
      <c r="C49" s="190"/>
      <c r="D49" s="190"/>
      <c r="E49" s="190"/>
      <c r="F49" s="190"/>
      <c r="G49" s="190"/>
      <c r="H49" s="867" t="s">
        <v>161</v>
      </c>
      <c r="I49" s="867"/>
      <c r="J49" s="867"/>
      <c r="K49" s="203">
        <f>K47+K48</f>
        <v>76994582.400000006</v>
      </c>
    </row>
  </sheetData>
  <mergeCells count="11">
    <mergeCell ref="H47:J47"/>
    <mergeCell ref="H48:J48"/>
    <mergeCell ref="H49:J49"/>
    <mergeCell ref="A1:K1"/>
    <mergeCell ref="A2:K2"/>
    <mergeCell ref="A3:A5"/>
    <mergeCell ref="B3:B5"/>
    <mergeCell ref="C3:K3"/>
    <mergeCell ref="C4:E4"/>
    <mergeCell ref="F4:H4"/>
    <mergeCell ref="I4:K4"/>
  </mergeCells>
  <pageMargins left="0.7" right="0.7" top="0.75" bottom="0.75" header="0.3" footer="0.3"/>
  <pageSetup paperSize="5"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F0"/>
  </sheetPr>
  <dimension ref="A1:E49"/>
  <sheetViews>
    <sheetView view="pageLayout" topLeftCell="A31" zoomScaleNormal="100" workbookViewId="0">
      <selection sqref="A1:E49"/>
    </sheetView>
  </sheetViews>
  <sheetFormatPr baseColWidth="10" defaultRowHeight="15" x14ac:dyDescent="0.25"/>
  <cols>
    <col min="2" max="2" width="22.7109375" customWidth="1"/>
  </cols>
  <sheetData>
    <row r="1" spans="1:5" x14ac:dyDescent="0.25">
      <c r="A1" s="868" t="s">
        <v>232</v>
      </c>
      <c r="B1" s="869"/>
      <c r="C1" s="869"/>
      <c r="D1" s="869"/>
      <c r="E1" s="870"/>
    </row>
    <row r="2" spans="1:5" x14ac:dyDescent="0.25">
      <c r="A2" s="867" t="s">
        <v>1481</v>
      </c>
      <c r="B2" s="867"/>
      <c r="C2" s="867"/>
      <c r="D2" s="867"/>
      <c r="E2" s="867"/>
    </row>
    <row r="3" spans="1:5" x14ac:dyDescent="0.25">
      <c r="A3" s="872" t="s">
        <v>233</v>
      </c>
      <c r="B3" s="872" t="s">
        <v>234</v>
      </c>
      <c r="C3" s="879" t="s">
        <v>1482</v>
      </c>
      <c r="D3" s="880"/>
      <c r="E3" s="881"/>
    </row>
    <row r="4" spans="1:5" x14ac:dyDescent="0.25">
      <c r="A4" s="872"/>
      <c r="B4" s="872"/>
      <c r="C4" s="882"/>
      <c r="D4" s="883"/>
      <c r="E4" s="884"/>
    </row>
    <row r="5" spans="1:5" ht="24" x14ac:dyDescent="0.25">
      <c r="A5" s="872"/>
      <c r="B5" s="872"/>
      <c r="C5" s="184" t="s">
        <v>2</v>
      </c>
      <c r="D5" s="184" t="s">
        <v>239</v>
      </c>
      <c r="E5" s="184" t="s">
        <v>180</v>
      </c>
    </row>
    <row r="6" spans="1:5" ht="18" customHeight="1" x14ac:dyDescent="0.25">
      <c r="A6" s="146">
        <v>1</v>
      </c>
      <c r="B6" s="147" t="s">
        <v>241</v>
      </c>
      <c r="C6" s="143"/>
      <c r="D6" s="144">
        <v>22100</v>
      </c>
      <c r="E6" s="144">
        <f>D6*C6</f>
        <v>0</v>
      </c>
    </row>
    <row r="7" spans="1:5" ht="18" customHeight="1" x14ac:dyDescent="0.25">
      <c r="A7" s="146">
        <v>2</v>
      </c>
      <c r="B7" s="147" t="s">
        <v>242</v>
      </c>
      <c r="C7" s="143">
        <v>20</v>
      </c>
      <c r="D7" s="144">
        <v>22100</v>
      </c>
      <c r="E7" s="144">
        <f t="shared" ref="E7:E45" si="0">D7*C7</f>
        <v>442000</v>
      </c>
    </row>
    <row r="8" spans="1:5" ht="18" customHeight="1" x14ac:dyDescent="0.25">
      <c r="A8" s="146">
        <v>3</v>
      </c>
      <c r="B8" s="147" t="s">
        <v>243</v>
      </c>
      <c r="C8" s="143"/>
      <c r="D8" s="144">
        <v>22100</v>
      </c>
      <c r="E8" s="144">
        <f t="shared" si="0"/>
        <v>0</v>
      </c>
    </row>
    <row r="9" spans="1:5" ht="18" customHeight="1" x14ac:dyDescent="0.25">
      <c r="A9" s="146">
        <v>4</v>
      </c>
      <c r="B9" s="147" t="s">
        <v>244</v>
      </c>
      <c r="C9" s="143"/>
      <c r="D9" s="144">
        <v>22100</v>
      </c>
      <c r="E9" s="144">
        <f t="shared" si="0"/>
        <v>0</v>
      </c>
    </row>
    <row r="10" spans="1:5" ht="18" customHeight="1" x14ac:dyDescent="0.25">
      <c r="A10" s="146">
        <v>5</v>
      </c>
      <c r="B10" s="147" t="s">
        <v>245</v>
      </c>
      <c r="C10" s="143"/>
      <c r="D10" s="144">
        <v>22100</v>
      </c>
      <c r="E10" s="144">
        <f t="shared" si="0"/>
        <v>0</v>
      </c>
    </row>
    <row r="11" spans="1:5" ht="18" customHeight="1" x14ac:dyDescent="0.25">
      <c r="A11" s="146">
        <v>6</v>
      </c>
      <c r="B11" s="147" t="s">
        <v>246</v>
      </c>
      <c r="C11" s="143"/>
      <c r="D11" s="144">
        <v>22100</v>
      </c>
      <c r="E11" s="144">
        <f t="shared" si="0"/>
        <v>0</v>
      </c>
    </row>
    <row r="12" spans="1:5" ht="18" customHeight="1" x14ac:dyDescent="0.25">
      <c r="A12" s="146">
        <v>7</v>
      </c>
      <c r="B12" s="193" t="s">
        <v>247</v>
      </c>
      <c r="C12" s="143"/>
      <c r="D12" s="144">
        <v>22100</v>
      </c>
      <c r="E12" s="144">
        <f t="shared" si="0"/>
        <v>0</v>
      </c>
    </row>
    <row r="13" spans="1:5" ht="18" customHeight="1" x14ac:dyDescent="0.25">
      <c r="A13" s="146">
        <v>8</v>
      </c>
      <c r="B13" s="147" t="s">
        <v>248</v>
      </c>
      <c r="C13" s="143"/>
      <c r="D13" s="144">
        <v>22100</v>
      </c>
      <c r="E13" s="144">
        <f t="shared" si="0"/>
        <v>0</v>
      </c>
    </row>
    <row r="14" spans="1:5" ht="18" customHeight="1" x14ac:dyDescent="0.25">
      <c r="A14" s="146">
        <v>9</v>
      </c>
      <c r="B14" s="193" t="s">
        <v>249</v>
      </c>
      <c r="C14" s="143"/>
      <c r="D14" s="144">
        <v>22100</v>
      </c>
      <c r="E14" s="144">
        <f t="shared" si="0"/>
        <v>0</v>
      </c>
    </row>
    <row r="15" spans="1:5" ht="18" customHeight="1" x14ac:dyDescent="0.25">
      <c r="A15" s="146">
        <v>10</v>
      </c>
      <c r="B15" s="147" t="s">
        <v>250</v>
      </c>
      <c r="C15" s="143"/>
      <c r="D15" s="144">
        <v>22100</v>
      </c>
      <c r="E15" s="144">
        <f t="shared" si="0"/>
        <v>0</v>
      </c>
    </row>
    <row r="16" spans="1:5" ht="18" customHeight="1" x14ac:dyDescent="0.25">
      <c r="A16" s="146">
        <v>11</v>
      </c>
      <c r="B16" s="147" t="s">
        <v>251</v>
      </c>
      <c r="C16" s="143"/>
      <c r="D16" s="144">
        <v>22100</v>
      </c>
      <c r="E16" s="144">
        <f t="shared" si="0"/>
        <v>0</v>
      </c>
    </row>
    <row r="17" spans="1:5" ht="18" customHeight="1" x14ac:dyDescent="0.25">
      <c r="A17" s="146">
        <v>12</v>
      </c>
      <c r="B17" s="147" t="s">
        <v>252</v>
      </c>
      <c r="C17" s="143"/>
      <c r="D17" s="144">
        <v>22100</v>
      </c>
      <c r="E17" s="144">
        <f t="shared" si="0"/>
        <v>0</v>
      </c>
    </row>
    <row r="18" spans="1:5" ht="18" customHeight="1" x14ac:dyDescent="0.25">
      <c r="A18" s="146">
        <v>13</v>
      </c>
      <c r="B18" s="147" t="s">
        <v>253</v>
      </c>
      <c r="C18" s="143"/>
      <c r="D18" s="144">
        <v>22100</v>
      </c>
      <c r="E18" s="144">
        <f t="shared" si="0"/>
        <v>0</v>
      </c>
    </row>
    <row r="19" spans="1:5" ht="18" customHeight="1" x14ac:dyDescent="0.25">
      <c r="A19" s="146">
        <v>14</v>
      </c>
      <c r="B19" s="193" t="s">
        <v>254</v>
      </c>
      <c r="C19" s="143"/>
      <c r="D19" s="144">
        <v>22100</v>
      </c>
      <c r="E19" s="144">
        <f t="shared" si="0"/>
        <v>0</v>
      </c>
    </row>
    <row r="20" spans="1:5" ht="18" customHeight="1" x14ac:dyDescent="0.25">
      <c r="A20" s="146">
        <v>15</v>
      </c>
      <c r="B20" s="147" t="s">
        <v>255</v>
      </c>
      <c r="C20" s="143"/>
      <c r="D20" s="144">
        <v>22100</v>
      </c>
      <c r="E20" s="144">
        <f t="shared" si="0"/>
        <v>0</v>
      </c>
    </row>
    <row r="21" spans="1:5" ht="18" customHeight="1" x14ac:dyDescent="0.25">
      <c r="A21" s="146">
        <v>16</v>
      </c>
      <c r="B21" s="147" t="s">
        <v>256</v>
      </c>
      <c r="C21" s="143"/>
      <c r="D21" s="144">
        <v>22100</v>
      </c>
      <c r="E21" s="144">
        <f t="shared" si="0"/>
        <v>0</v>
      </c>
    </row>
    <row r="22" spans="1:5" ht="18" customHeight="1" x14ac:dyDescent="0.25">
      <c r="A22" s="146">
        <v>17</v>
      </c>
      <c r="B22" s="147" t="s">
        <v>257</v>
      </c>
      <c r="C22" s="143"/>
      <c r="D22" s="144">
        <v>22100</v>
      </c>
      <c r="E22" s="144">
        <f t="shared" si="0"/>
        <v>0</v>
      </c>
    </row>
    <row r="23" spans="1:5" ht="18" customHeight="1" x14ac:dyDescent="0.25">
      <c r="A23" s="146">
        <v>18</v>
      </c>
      <c r="B23" s="147" t="s">
        <v>258</v>
      </c>
      <c r="C23" s="143"/>
      <c r="D23" s="144">
        <v>22100</v>
      </c>
      <c r="E23" s="144">
        <f t="shared" si="0"/>
        <v>0</v>
      </c>
    </row>
    <row r="24" spans="1:5" ht="18" customHeight="1" x14ac:dyDescent="0.25">
      <c r="A24" s="146">
        <v>19</v>
      </c>
      <c r="B24" s="147" t="s">
        <v>259</v>
      </c>
      <c r="C24" s="143">
        <v>10</v>
      </c>
      <c r="D24" s="144">
        <v>22100</v>
      </c>
      <c r="E24" s="144">
        <f t="shared" si="0"/>
        <v>221000</v>
      </c>
    </row>
    <row r="25" spans="1:5" ht="18" customHeight="1" x14ac:dyDescent="0.25">
      <c r="A25" s="146">
        <v>20</v>
      </c>
      <c r="B25" s="147" t="s">
        <v>260</v>
      </c>
      <c r="C25" s="143"/>
      <c r="D25" s="144">
        <v>22100</v>
      </c>
      <c r="E25" s="144">
        <f t="shared" si="0"/>
        <v>0</v>
      </c>
    </row>
    <row r="26" spans="1:5" ht="18" customHeight="1" x14ac:dyDescent="0.25">
      <c r="A26" s="146">
        <v>21</v>
      </c>
      <c r="B26" s="147" t="s">
        <v>261</v>
      </c>
      <c r="C26" s="143"/>
      <c r="D26" s="144">
        <v>22100</v>
      </c>
      <c r="E26" s="144">
        <f t="shared" si="0"/>
        <v>0</v>
      </c>
    </row>
    <row r="27" spans="1:5" ht="18" customHeight="1" x14ac:dyDescent="0.25">
      <c r="A27" s="146">
        <v>22</v>
      </c>
      <c r="B27" s="147" t="s">
        <v>262</v>
      </c>
      <c r="C27" s="143"/>
      <c r="D27" s="144">
        <v>22100</v>
      </c>
      <c r="E27" s="144">
        <f t="shared" si="0"/>
        <v>0</v>
      </c>
    </row>
    <row r="28" spans="1:5" ht="18" customHeight="1" x14ac:dyDescent="0.25">
      <c r="A28" s="146">
        <v>23</v>
      </c>
      <c r="B28" s="147" t="s">
        <v>263</v>
      </c>
      <c r="C28" s="143"/>
      <c r="D28" s="144">
        <v>22100</v>
      </c>
      <c r="E28" s="144">
        <f t="shared" si="0"/>
        <v>0</v>
      </c>
    </row>
    <row r="29" spans="1:5" ht="18" customHeight="1" x14ac:dyDescent="0.25">
      <c r="A29" s="146">
        <v>24</v>
      </c>
      <c r="B29" s="147" t="s">
        <v>264</v>
      </c>
      <c r="C29" s="143"/>
      <c r="D29" s="144">
        <v>22100</v>
      </c>
      <c r="E29" s="144">
        <f t="shared" si="0"/>
        <v>0</v>
      </c>
    </row>
    <row r="30" spans="1:5" ht="18" customHeight="1" x14ac:dyDescent="0.25">
      <c r="A30" s="146">
        <v>25</v>
      </c>
      <c r="B30" s="147" t="s">
        <v>265</v>
      </c>
      <c r="C30" s="143"/>
      <c r="D30" s="144">
        <v>22100</v>
      </c>
      <c r="E30" s="144">
        <f t="shared" si="0"/>
        <v>0</v>
      </c>
    </row>
    <row r="31" spans="1:5" ht="18" customHeight="1" x14ac:dyDescent="0.25">
      <c r="A31" s="146">
        <v>26</v>
      </c>
      <c r="B31" s="147" t="s">
        <v>266</v>
      </c>
      <c r="C31" s="143"/>
      <c r="D31" s="144">
        <v>22100</v>
      </c>
      <c r="E31" s="144">
        <f t="shared" si="0"/>
        <v>0</v>
      </c>
    </row>
    <row r="32" spans="1:5" ht="18" customHeight="1" x14ac:dyDescent="0.25">
      <c r="A32" s="146">
        <v>27</v>
      </c>
      <c r="B32" s="147" t="s">
        <v>267</v>
      </c>
      <c r="C32" s="143"/>
      <c r="D32" s="144">
        <v>22100</v>
      </c>
      <c r="E32" s="144">
        <f t="shared" si="0"/>
        <v>0</v>
      </c>
    </row>
    <row r="33" spans="1:5" ht="18" customHeight="1" x14ac:dyDescent="0.25">
      <c r="A33" s="146">
        <v>28</v>
      </c>
      <c r="B33" s="147" t="s">
        <v>268</v>
      </c>
      <c r="C33" s="143"/>
      <c r="D33" s="144">
        <v>22100</v>
      </c>
      <c r="E33" s="144">
        <f t="shared" si="0"/>
        <v>0</v>
      </c>
    </row>
    <row r="34" spans="1:5" ht="18" customHeight="1" x14ac:dyDescent="0.25">
      <c r="A34" s="146">
        <v>29</v>
      </c>
      <c r="B34" s="147" t="s">
        <v>269</v>
      </c>
      <c r="C34" s="143"/>
      <c r="D34" s="144">
        <v>22100</v>
      </c>
      <c r="E34" s="144">
        <f t="shared" si="0"/>
        <v>0</v>
      </c>
    </row>
    <row r="35" spans="1:5" ht="18" customHeight="1" x14ac:dyDescent="0.25">
      <c r="A35" s="146">
        <v>30</v>
      </c>
      <c r="B35" s="147" t="s">
        <v>270</v>
      </c>
      <c r="C35" s="143"/>
      <c r="D35" s="144">
        <v>22100</v>
      </c>
      <c r="E35" s="144">
        <f t="shared" si="0"/>
        <v>0</v>
      </c>
    </row>
    <row r="36" spans="1:5" ht="18" customHeight="1" x14ac:dyDescent="0.25">
      <c r="A36" s="146">
        <v>31</v>
      </c>
      <c r="B36" s="147" t="s">
        <v>271</v>
      </c>
      <c r="C36" s="143"/>
      <c r="D36" s="144">
        <v>22100</v>
      </c>
      <c r="E36" s="144">
        <f t="shared" si="0"/>
        <v>0</v>
      </c>
    </row>
    <row r="37" spans="1:5" ht="18" customHeight="1" x14ac:dyDescent="0.25">
      <c r="A37" s="146">
        <v>32</v>
      </c>
      <c r="B37" s="147" t="s">
        <v>272</v>
      </c>
      <c r="C37" s="143"/>
      <c r="D37" s="144">
        <v>22100</v>
      </c>
      <c r="E37" s="144">
        <f t="shared" si="0"/>
        <v>0</v>
      </c>
    </row>
    <row r="38" spans="1:5" ht="18" customHeight="1" x14ac:dyDescent="0.25">
      <c r="A38" s="146">
        <v>33</v>
      </c>
      <c r="B38" s="147" t="s">
        <v>273</v>
      </c>
      <c r="C38" s="143"/>
      <c r="D38" s="144">
        <v>22100</v>
      </c>
      <c r="E38" s="144">
        <f t="shared" si="0"/>
        <v>0</v>
      </c>
    </row>
    <row r="39" spans="1:5" ht="18" customHeight="1" x14ac:dyDescent="0.25">
      <c r="A39" s="146">
        <v>34</v>
      </c>
      <c r="B39" s="147" t="s">
        <v>274</v>
      </c>
      <c r="C39" s="143"/>
      <c r="D39" s="144">
        <v>22100</v>
      </c>
      <c r="E39" s="144">
        <f t="shared" si="0"/>
        <v>0</v>
      </c>
    </row>
    <row r="40" spans="1:5" ht="18" customHeight="1" x14ac:dyDescent="0.25">
      <c r="A40" s="146">
        <v>35</v>
      </c>
      <c r="B40" s="147" t="s">
        <v>275</v>
      </c>
      <c r="C40" s="143"/>
      <c r="D40" s="144">
        <v>22100</v>
      </c>
      <c r="E40" s="144">
        <f t="shared" si="0"/>
        <v>0</v>
      </c>
    </row>
    <row r="41" spans="1:5" ht="18" customHeight="1" x14ac:dyDescent="0.25">
      <c r="A41" s="146">
        <v>36</v>
      </c>
      <c r="B41" s="147" t="s">
        <v>276</v>
      </c>
      <c r="C41" s="143">
        <v>10</v>
      </c>
      <c r="D41" s="144">
        <v>22100</v>
      </c>
      <c r="E41" s="144">
        <f t="shared" si="0"/>
        <v>221000</v>
      </c>
    </row>
    <row r="42" spans="1:5" ht="18" customHeight="1" x14ac:dyDescent="0.25">
      <c r="A42" s="146">
        <v>37</v>
      </c>
      <c r="B42" s="147" t="s">
        <v>277</v>
      </c>
      <c r="C42" s="143">
        <v>10</v>
      </c>
      <c r="D42" s="144">
        <v>22100</v>
      </c>
      <c r="E42" s="144">
        <f t="shared" si="0"/>
        <v>221000</v>
      </c>
    </row>
    <row r="43" spans="1:5" ht="18" customHeight="1" x14ac:dyDescent="0.25">
      <c r="A43" s="146">
        <v>38</v>
      </c>
      <c r="B43" s="147" t="s">
        <v>278</v>
      </c>
      <c r="C43" s="143">
        <v>10</v>
      </c>
      <c r="D43" s="144">
        <v>22100</v>
      </c>
      <c r="E43" s="144">
        <f t="shared" si="0"/>
        <v>221000</v>
      </c>
    </row>
    <row r="44" spans="1:5" ht="18" customHeight="1" x14ac:dyDescent="0.25">
      <c r="A44" s="146">
        <v>39</v>
      </c>
      <c r="B44" s="193" t="s">
        <v>279</v>
      </c>
      <c r="C44" s="143"/>
      <c r="D44" s="144">
        <v>22100</v>
      </c>
      <c r="E44" s="144">
        <f t="shared" si="0"/>
        <v>0</v>
      </c>
    </row>
    <row r="45" spans="1:5" ht="18" customHeight="1" x14ac:dyDescent="0.25">
      <c r="A45" s="146">
        <v>40</v>
      </c>
      <c r="B45" s="193" t="s">
        <v>280</v>
      </c>
      <c r="C45" s="143">
        <v>10</v>
      </c>
      <c r="D45" s="144">
        <v>22100</v>
      </c>
      <c r="E45" s="144">
        <f t="shared" si="0"/>
        <v>221000</v>
      </c>
    </row>
    <row r="46" spans="1:5" ht="18" customHeight="1" x14ac:dyDescent="0.25">
      <c r="A46" s="148"/>
      <c r="B46" s="149" t="s">
        <v>281</v>
      </c>
      <c r="C46" s="184">
        <f>SUM(C6:C45)</f>
        <v>70</v>
      </c>
      <c r="D46" s="151"/>
      <c r="E46" s="151">
        <f>SUM(E6:E45)</f>
        <v>1547000</v>
      </c>
    </row>
    <row r="47" spans="1:5" s="113" customFormat="1" ht="18" customHeight="1" x14ac:dyDescent="0.25">
      <c r="A47" s="194"/>
      <c r="B47" s="195"/>
      <c r="C47" s="877" t="s">
        <v>284</v>
      </c>
      <c r="D47" s="878"/>
      <c r="E47" s="151">
        <f>E46</f>
        <v>1547000</v>
      </c>
    </row>
    <row r="48" spans="1:5" ht="18" customHeight="1" x14ac:dyDescent="0.25">
      <c r="A48" s="190"/>
      <c r="B48" s="190"/>
      <c r="C48" s="867" t="s">
        <v>282</v>
      </c>
      <c r="D48" s="867"/>
      <c r="E48" s="196">
        <f>E46*16%</f>
        <v>247520</v>
      </c>
    </row>
    <row r="49" spans="1:5" ht="18" customHeight="1" x14ac:dyDescent="0.25">
      <c r="A49" s="190"/>
      <c r="B49" s="190"/>
      <c r="C49" s="867" t="s">
        <v>161</v>
      </c>
      <c r="D49" s="867"/>
      <c r="E49" s="196">
        <f>E46+E48</f>
        <v>1794520</v>
      </c>
    </row>
  </sheetData>
  <mergeCells count="8">
    <mergeCell ref="C48:D48"/>
    <mergeCell ref="C49:D49"/>
    <mergeCell ref="C47:D47"/>
    <mergeCell ref="A1:E1"/>
    <mergeCell ref="A2:E2"/>
    <mergeCell ref="A3:A5"/>
    <mergeCell ref="B3:B5"/>
    <mergeCell ref="C3:E4"/>
  </mergeCells>
  <pageMargins left="0.7" right="0.7" top="0.75" bottom="0.75" header="0.3" footer="0.3"/>
  <pageSetup paperSize="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F0"/>
  </sheetPr>
  <dimension ref="C2:H20"/>
  <sheetViews>
    <sheetView view="pageLayout" zoomScaleNormal="100" workbookViewId="0">
      <selection activeCell="D9" sqref="D9"/>
    </sheetView>
  </sheetViews>
  <sheetFormatPr baseColWidth="10" defaultRowHeight="15" x14ac:dyDescent="0.25"/>
  <cols>
    <col min="1" max="2" width="11.42578125" style="145"/>
    <col min="3" max="3" width="5.5703125" style="163" customWidth="1"/>
    <col min="4" max="4" width="68.85546875" style="145" customWidth="1"/>
    <col min="5" max="5" width="11.42578125" style="163" customWidth="1"/>
    <col min="6" max="7" width="11.42578125" style="145"/>
    <col min="8" max="8" width="11.42578125" style="165"/>
    <col min="9" max="16384" width="11.42578125" style="145"/>
  </cols>
  <sheetData>
    <row r="2" spans="3:8" ht="18" customHeight="1" x14ac:dyDescent="0.25">
      <c r="C2" s="885" t="s">
        <v>1397</v>
      </c>
      <c r="D2" s="885"/>
      <c r="E2" s="885"/>
      <c r="F2" s="885"/>
      <c r="G2" s="885"/>
    </row>
    <row r="3" spans="3:8" ht="29.25" customHeight="1" x14ac:dyDescent="0.25">
      <c r="C3" s="358" t="s">
        <v>1663</v>
      </c>
      <c r="D3" s="358" t="s">
        <v>1664</v>
      </c>
      <c r="E3" s="358" t="s">
        <v>2</v>
      </c>
      <c r="F3" s="358" t="s">
        <v>1665</v>
      </c>
      <c r="G3" s="358" t="s">
        <v>298</v>
      </c>
    </row>
    <row r="4" spans="3:8" ht="18" customHeight="1" x14ac:dyDescent="0.25">
      <c r="C4" s="164">
        <v>1</v>
      </c>
      <c r="D4" s="167" t="s">
        <v>1666</v>
      </c>
      <c r="E4" s="164">
        <v>40</v>
      </c>
      <c r="F4" s="168">
        <v>130000</v>
      </c>
      <c r="G4" s="168">
        <f>E4*F4</f>
        <v>5200000</v>
      </c>
      <c r="H4" s="394"/>
    </row>
    <row r="5" spans="3:8" ht="18" customHeight="1" x14ac:dyDescent="0.25">
      <c r="C5" s="164">
        <v>2</v>
      </c>
      <c r="D5" s="167" t="s">
        <v>1667</v>
      </c>
      <c r="E5" s="164">
        <v>40</v>
      </c>
      <c r="F5" s="168">
        <v>110500</v>
      </c>
      <c r="G5" s="168">
        <f t="shared" ref="G5:G17" si="0">E5*F5</f>
        <v>4420000</v>
      </c>
      <c r="H5" s="394"/>
    </row>
    <row r="6" spans="3:8" ht="18" customHeight="1" x14ac:dyDescent="0.25">
      <c r="C6" s="164">
        <v>3</v>
      </c>
      <c r="D6" s="167" t="s">
        <v>1668</v>
      </c>
      <c r="E6" s="164">
        <v>20</v>
      </c>
      <c r="F6" s="168">
        <v>265200</v>
      </c>
      <c r="G6" s="168">
        <f t="shared" si="0"/>
        <v>5304000</v>
      </c>
      <c r="H6" s="394"/>
    </row>
    <row r="7" spans="3:8" ht="18" customHeight="1" x14ac:dyDescent="0.25">
      <c r="C7" s="164">
        <v>4</v>
      </c>
      <c r="D7" s="167" t="s">
        <v>1669</v>
      </c>
      <c r="E7" s="164">
        <v>40</v>
      </c>
      <c r="F7" s="168">
        <v>28600</v>
      </c>
      <c r="G7" s="168">
        <f t="shared" si="0"/>
        <v>1144000</v>
      </c>
      <c r="H7" s="394"/>
    </row>
    <row r="8" spans="3:8" ht="18" customHeight="1" x14ac:dyDescent="0.25">
      <c r="C8" s="164">
        <v>5</v>
      </c>
      <c r="D8" s="167" t="s">
        <v>1670</v>
      </c>
      <c r="E8" s="164">
        <v>40</v>
      </c>
      <c r="F8" s="169">
        <v>16250</v>
      </c>
      <c r="G8" s="168">
        <f t="shared" si="0"/>
        <v>650000</v>
      </c>
      <c r="H8" s="394"/>
    </row>
    <row r="9" spans="3:8" ht="18" customHeight="1" x14ac:dyDescent="0.25">
      <c r="C9" s="164">
        <v>6</v>
      </c>
      <c r="D9" s="167" t="s">
        <v>1671</v>
      </c>
      <c r="E9" s="164">
        <v>40</v>
      </c>
      <c r="F9" s="168">
        <v>21450</v>
      </c>
      <c r="G9" s="168">
        <f t="shared" si="0"/>
        <v>858000</v>
      </c>
      <c r="H9" s="394"/>
    </row>
    <row r="10" spans="3:8" ht="26.25" customHeight="1" x14ac:dyDescent="0.25">
      <c r="C10" s="164">
        <v>7</v>
      </c>
      <c r="D10" s="170" t="s">
        <v>1678</v>
      </c>
      <c r="E10" s="164">
        <v>40</v>
      </c>
      <c r="F10" s="168">
        <v>201500</v>
      </c>
      <c r="G10" s="168">
        <f t="shared" si="0"/>
        <v>8060000</v>
      </c>
      <c r="H10" s="394"/>
    </row>
    <row r="11" spans="3:8" ht="18" customHeight="1" x14ac:dyDescent="0.25">
      <c r="C11" s="164">
        <v>8</v>
      </c>
      <c r="D11" s="167" t="s">
        <v>1672</v>
      </c>
      <c r="E11" s="164">
        <v>40</v>
      </c>
      <c r="F11" s="168">
        <v>48100</v>
      </c>
      <c r="G11" s="168">
        <f t="shared" si="0"/>
        <v>1924000</v>
      </c>
      <c r="H11" s="394"/>
    </row>
    <row r="12" spans="3:8" ht="18" customHeight="1" x14ac:dyDescent="0.25">
      <c r="C12" s="164">
        <v>9</v>
      </c>
      <c r="D12" s="167" t="s">
        <v>1673</v>
      </c>
      <c r="E12" s="164">
        <v>40</v>
      </c>
      <c r="F12" s="168">
        <v>15600</v>
      </c>
      <c r="G12" s="168">
        <f t="shared" si="0"/>
        <v>624000</v>
      </c>
      <c r="H12" s="394"/>
    </row>
    <row r="13" spans="3:8" ht="18" customHeight="1" x14ac:dyDescent="0.25">
      <c r="C13" s="164">
        <v>10</v>
      </c>
      <c r="D13" s="167" t="s">
        <v>1674</v>
      </c>
      <c r="E13" s="164">
        <v>1</v>
      </c>
      <c r="F13" s="168">
        <v>201500</v>
      </c>
      <c r="G13" s="168">
        <f t="shared" si="0"/>
        <v>201500</v>
      </c>
      <c r="H13" s="394"/>
    </row>
    <row r="14" spans="3:8" ht="18" customHeight="1" x14ac:dyDescent="0.25">
      <c r="C14" s="164">
        <v>11</v>
      </c>
      <c r="D14" s="167" t="s">
        <v>1675</v>
      </c>
      <c r="E14" s="164">
        <v>40</v>
      </c>
      <c r="F14" s="168">
        <v>16250</v>
      </c>
      <c r="G14" s="168">
        <f t="shared" si="0"/>
        <v>650000</v>
      </c>
      <c r="H14" s="394"/>
    </row>
    <row r="15" spans="3:8" ht="18" customHeight="1" x14ac:dyDescent="0.25">
      <c r="C15" s="164">
        <v>12</v>
      </c>
      <c r="D15" s="167" t="s">
        <v>1676</v>
      </c>
      <c r="E15" s="164">
        <v>6</v>
      </c>
      <c r="F15" s="168">
        <v>123500</v>
      </c>
      <c r="G15" s="168">
        <f t="shared" si="0"/>
        <v>741000</v>
      </c>
      <c r="H15" s="394"/>
    </row>
    <row r="16" spans="3:8" ht="26.25" customHeight="1" x14ac:dyDescent="0.25">
      <c r="C16" s="164">
        <v>13</v>
      </c>
      <c r="D16" s="167" t="s">
        <v>1677</v>
      </c>
      <c r="E16" s="164">
        <v>1</v>
      </c>
      <c r="F16" s="168">
        <v>3250000</v>
      </c>
      <c r="G16" s="168">
        <f t="shared" si="0"/>
        <v>3250000</v>
      </c>
      <c r="H16" s="394"/>
    </row>
    <row r="17" spans="3:8" ht="35.25" customHeight="1" x14ac:dyDescent="0.25">
      <c r="C17" s="164">
        <v>14</v>
      </c>
      <c r="D17" s="171" t="s">
        <v>1679</v>
      </c>
      <c r="E17" s="164">
        <v>2</v>
      </c>
      <c r="F17" s="168">
        <v>1105000</v>
      </c>
      <c r="G17" s="168">
        <f t="shared" si="0"/>
        <v>2210000</v>
      </c>
      <c r="H17" s="394"/>
    </row>
    <row r="18" spans="3:8" ht="18" customHeight="1" x14ac:dyDescent="0.25">
      <c r="C18" s="166"/>
      <c r="D18" s="166"/>
      <c r="E18" s="886" t="s">
        <v>560</v>
      </c>
      <c r="F18" s="886"/>
      <c r="G18" s="172">
        <f>SUM(G4:G17)</f>
        <v>35236500</v>
      </c>
      <c r="H18" s="394"/>
    </row>
    <row r="19" spans="3:8" ht="18" customHeight="1" x14ac:dyDescent="0.25">
      <c r="C19" s="162"/>
      <c r="D19" s="162"/>
      <c r="E19" s="886" t="s">
        <v>1508</v>
      </c>
      <c r="F19" s="886"/>
      <c r="G19" s="172">
        <f>G18*0.16</f>
        <v>5637840</v>
      </c>
      <c r="H19" s="394"/>
    </row>
    <row r="20" spans="3:8" ht="18" customHeight="1" x14ac:dyDescent="0.25">
      <c r="C20" s="162"/>
      <c r="D20" s="162"/>
      <c r="E20" s="887" t="s">
        <v>298</v>
      </c>
      <c r="F20" s="887"/>
      <c r="G20" s="173">
        <f>SUM(G18:G19)</f>
        <v>40874340</v>
      </c>
    </row>
  </sheetData>
  <mergeCells count="4">
    <mergeCell ref="C2:G2"/>
    <mergeCell ref="E18:F18"/>
    <mergeCell ref="E19:F19"/>
    <mergeCell ref="E20:F20"/>
  </mergeCells>
  <pageMargins left="0.7" right="0.7" top="0.75" bottom="0.75" header="0.3" footer="0.3"/>
  <pageSetup paperSize="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F0"/>
  </sheetPr>
  <dimension ref="A3:P51"/>
  <sheetViews>
    <sheetView view="pageLayout" topLeftCell="B1" zoomScale="90" zoomScaleNormal="90" zoomScalePageLayoutView="90" workbookViewId="0">
      <selection activeCell="F34" sqref="F34"/>
    </sheetView>
  </sheetViews>
  <sheetFormatPr baseColWidth="10" defaultRowHeight="12" x14ac:dyDescent="0.2"/>
  <cols>
    <col min="1" max="1" width="5.5703125" style="208" bestFit="1" customWidth="1"/>
    <col min="2" max="2" width="21" style="208" customWidth="1"/>
    <col min="3" max="3" width="12.28515625" style="208" bestFit="1" customWidth="1"/>
    <col min="4" max="4" width="11.140625" style="208" customWidth="1"/>
    <col min="5" max="5" width="11.85546875" style="208" customWidth="1"/>
    <col min="6" max="6" width="11.28515625" style="208" customWidth="1"/>
    <col min="7" max="7" width="11.5703125" style="208" customWidth="1"/>
    <col min="8" max="8" width="10.85546875" style="208" customWidth="1"/>
    <col min="9" max="9" width="10.28515625" style="208" customWidth="1"/>
    <col min="10" max="10" width="10.85546875" style="208" customWidth="1"/>
    <col min="11" max="11" width="11.7109375" style="208" customWidth="1"/>
    <col min="12" max="12" width="12.85546875" style="208" customWidth="1"/>
    <col min="13" max="13" width="13.28515625" style="210" customWidth="1"/>
    <col min="14" max="14" width="12.5703125" style="210" customWidth="1"/>
    <col min="15" max="15" width="17.42578125" style="208" customWidth="1"/>
    <col min="16" max="16" width="12.140625" style="208" bestFit="1" customWidth="1"/>
    <col min="17" max="16384" width="11.42578125" style="208"/>
  </cols>
  <sheetData>
    <row r="3" spans="1:14" x14ac:dyDescent="0.2">
      <c r="A3" s="890" t="s">
        <v>286</v>
      </c>
      <c r="B3" s="890"/>
      <c r="C3" s="890"/>
      <c r="D3" s="890"/>
      <c r="E3" s="890"/>
      <c r="F3" s="890"/>
      <c r="G3" s="890"/>
      <c r="H3" s="890"/>
      <c r="I3" s="890"/>
      <c r="J3" s="890"/>
      <c r="K3" s="890"/>
      <c r="L3" s="890"/>
      <c r="M3" s="890"/>
      <c r="N3" s="890"/>
    </row>
    <row r="4" spans="1:14" x14ac:dyDescent="0.2">
      <c r="A4" s="868" t="s">
        <v>1440</v>
      </c>
      <c r="B4" s="869"/>
      <c r="C4" s="869"/>
      <c r="D4" s="869"/>
      <c r="E4" s="869"/>
      <c r="F4" s="869"/>
      <c r="G4" s="869"/>
      <c r="H4" s="869"/>
      <c r="I4" s="869"/>
      <c r="J4" s="869"/>
      <c r="K4" s="869"/>
      <c r="L4" s="869"/>
      <c r="M4" s="869"/>
      <c r="N4" s="870"/>
    </row>
    <row r="5" spans="1:14" s="396" customFormat="1" ht="125.25" customHeight="1" x14ac:dyDescent="0.25">
      <c r="A5" s="356" t="s">
        <v>233</v>
      </c>
      <c r="B5" s="357" t="s">
        <v>287</v>
      </c>
      <c r="C5" s="361" t="s">
        <v>288</v>
      </c>
      <c r="D5" s="361" t="s">
        <v>1857</v>
      </c>
      <c r="E5" s="395" t="s">
        <v>473</v>
      </c>
      <c r="F5" s="361" t="s">
        <v>289</v>
      </c>
      <c r="G5" s="361" t="s">
        <v>290</v>
      </c>
      <c r="H5" s="361" t="s">
        <v>1856</v>
      </c>
      <c r="I5" s="361" t="s">
        <v>291</v>
      </c>
      <c r="J5" s="361" t="s">
        <v>1438</v>
      </c>
      <c r="K5" s="395" t="s">
        <v>1439</v>
      </c>
      <c r="L5" s="397" t="s">
        <v>292</v>
      </c>
      <c r="M5" s="361" t="s">
        <v>1446</v>
      </c>
      <c r="N5" s="400" t="s">
        <v>560</v>
      </c>
    </row>
    <row r="6" spans="1:14" ht="19.7" customHeight="1" x14ac:dyDescent="0.2">
      <c r="A6" s="146">
        <v>1</v>
      </c>
      <c r="B6" s="147" t="s">
        <v>241</v>
      </c>
      <c r="C6" s="204">
        <v>559326.86159999995</v>
      </c>
      <c r="D6" s="204">
        <v>1376794.0575999999</v>
      </c>
      <c r="E6" s="204">
        <v>2034240</v>
      </c>
      <c r="F6" s="204">
        <v>1680000</v>
      </c>
      <c r="G6" s="204">
        <v>572000</v>
      </c>
      <c r="H6" s="204">
        <v>2018400</v>
      </c>
      <c r="I6" s="186">
        <v>180000</v>
      </c>
      <c r="J6" s="186">
        <v>1131000</v>
      </c>
      <c r="K6" s="186">
        <v>0</v>
      </c>
      <c r="L6" s="398">
        <v>37105152</v>
      </c>
      <c r="M6" s="204">
        <v>8075827</v>
      </c>
      <c r="N6" s="401">
        <f>SUM(C6:M6)</f>
        <v>54732739.919200003</v>
      </c>
    </row>
    <row r="7" spans="1:14" ht="19.7" customHeight="1" x14ac:dyDescent="0.2">
      <c r="A7" s="146">
        <v>2</v>
      </c>
      <c r="B7" s="147" t="s">
        <v>242</v>
      </c>
      <c r="C7" s="204">
        <v>1491538.2975999999</v>
      </c>
      <c r="D7" s="204">
        <v>3441985.1439999999</v>
      </c>
      <c r="E7" s="204">
        <v>12714000</v>
      </c>
      <c r="F7" s="204">
        <v>4200000</v>
      </c>
      <c r="G7" s="204">
        <v>1144000</v>
      </c>
      <c r="H7" s="204">
        <v>5046000</v>
      </c>
      <c r="I7" s="186">
        <v>360000</v>
      </c>
      <c r="J7" s="186">
        <v>1131000</v>
      </c>
      <c r="K7" s="186">
        <v>3380000</v>
      </c>
      <c r="L7" s="398">
        <v>58250000</v>
      </c>
      <c r="M7" s="204">
        <v>15100000</v>
      </c>
      <c r="N7" s="401">
        <f t="shared" ref="N7:N47" si="0">SUM(C7:M7)</f>
        <v>106258523.44159999</v>
      </c>
    </row>
    <row r="8" spans="1:14" ht="19.7" customHeight="1" x14ac:dyDescent="0.2">
      <c r="A8" s="146">
        <v>3</v>
      </c>
      <c r="B8" s="147" t="s">
        <v>243</v>
      </c>
      <c r="C8" s="204">
        <v>559326.86159999995</v>
      </c>
      <c r="D8" s="204">
        <v>1376794.0575999999</v>
      </c>
      <c r="E8" s="204">
        <v>762840</v>
      </c>
      <c r="F8" s="204">
        <v>1680000</v>
      </c>
      <c r="G8" s="204">
        <v>1144000</v>
      </c>
      <c r="H8" s="204">
        <v>1513800</v>
      </c>
      <c r="I8" s="186">
        <v>180000</v>
      </c>
      <c r="J8" s="186">
        <v>1131000</v>
      </c>
      <c r="K8" s="186">
        <v>0</v>
      </c>
      <c r="L8" s="398">
        <v>37105152</v>
      </c>
      <c r="M8" s="204">
        <v>8075827</v>
      </c>
      <c r="N8" s="401">
        <f t="shared" si="0"/>
        <v>53528739.919200003</v>
      </c>
    </row>
    <row r="9" spans="1:14" ht="19.7" customHeight="1" x14ac:dyDescent="0.2">
      <c r="A9" s="146">
        <v>4</v>
      </c>
      <c r="B9" s="147" t="s">
        <v>244</v>
      </c>
      <c r="C9" s="204">
        <v>559326.86159999995</v>
      </c>
      <c r="D9" s="204">
        <v>1376794.0575999999</v>
      </c>
      <c r="E9" s="204">
        <v>2034240</v>
      </c>
      <c r="F9" s="204">
        <v>1680000</v>
      </c>
      <c r="G9" s="204">
        <v>1144000</v>
      </c>
      <c r="H9" s="204">
        <v>1513800</v>
      </c>
      <c r="I9" s="186">
        <v>180000</v>
      </c>
      <c r="J9" s="186">
        <v>1131000</v>
      </c>
      <c r="K9" s="186">
        <v>0</v>
      </c>
      <c r="L9" s="398">
        <v>0</v>
      </c>
      <c r="M9" s="204">
        <v>0</v>
      </c>
      <c r="N9" s="401">
        <f t="shared" si="0"/>
        <v>9619160.9191999994</v>
      </c>
    </row>
    <row r="10" spans="1:14" ht="19.7" customHeight="1" x14ac:dyDescent="0.2">
      <c r="A10" s="146">
        <v>5</v>
      </c>
      <c r="B10" s="147" t="s">
        <v>245</v>
      </c>
      <c r="C10" s="204">
        <v>559326.86159999995</v>
      </c>
      <c r="D10" s="204">
        <v>1376794.0575999999</v>
      </c>
      <c r="E10" s="204">
        <v>2034240</v>
      </c>
      <c r="F10" s="204">
        <v>1680000</v>
      </c>
      <c r="G10" s="204">
        <v>858000</v>
      </c>
      <c r="H10" s="204">
        <v>2018400</v>
      </c>
      <c r="I10" s="186">
        <v>180000</v>
      </c>
      <c r="J10" s="186">
        <v>1131000</v>
      </c>
      <c r="K10" s="186">
        <v>0</v>
      </c>
      <c r="L10" s="398">
        <v>37105152</v>
      </c>
      <c r="M10" s="204">
        <v>8075827</v>
      </c>
      <c r="N10" s="401">
        <f t="shared" si="0"/>
        <v>55018739.919200003</v>
      </c>
    </row>
    <row r="11" spans="1:14" ht="19.7" customHeight="1" x14ac:dyDescent="0.2">
      <c r="A11" s="146">
        <v>6</v>
      </c>
      <c r="B11" s="147" t="s">
        <v>246</v>
      </c>
      <c r="C11" s="204">
        <v>559326.86159999995</v>
      </c>
      <c r="D11" s="204">
        <v>1376794.0575999999</v>
      </c>
      <c r="E11" s="204">
        <v>2034240</v>
      </c>
      <c r="F11" s="204">
        <v>1680000</v>
      </c>
      <c r="G11" s="204">
        <v>1430000</v>
      </c>
      <c r="H11" s="204">
        <v>1513800</v>
      </c>
      <c r="I11" s="186">
        <v>180000</v>
      </c>
      <c r="J11" s="186">
        <v>1131000</v>
      </c>
      <c r="K11" s="186">
        <v>0</v>
      </c>
      <c r="L11" s="398">
        <v>0</v>
      </c>
      <c r="M11" s="204">
        <v>0</v>
      </c>
      <c r="N11" s="401">
        <f t="shared" si="0"/>
        <v>9905160.9191999994</v>
      </c>
    </row>
    <row r="12" spans="1:14" ht="19.7" customHeight="1" x14ac:dyDescent="0.2">
      <c r="A12" s="146">
        <v>7</v>
      </c>
      <c r="B12" s="147" t="s">
        <v>247</v>
      </c>
      <c r="C12" s="204">
        <v>559326.86159999995</v>
      </c>
      <c r="D12" s="204">
        <v>1376794.0575999999</v>
      </c>
      <c r="E12" s="204">
        <v>2034240</v>
      </c>
      <c r="F12" s="204">
        <v>1680000</v>
      </c>
      <c r="G12" s="204">
        <v>858000</v>
      </c>
      <c r="H12" s="204">
        <v>1513800</v>
      </c>
      <c r="I12" s="186">
        <v>180000</v>
      </c>
      <c r="J12" s="186">
        <v>1131000</v>
      </c>
      <c r="K12" s="186">
        <v>0</v>
      </c>
      <c r="L12" s="398">
        <v>0</v>
      </c>
      <c r="M12" s="204">
        <v>0</v>
      </c>
      <c r="N12" s="401">
        <f t="shared" si="0"/>
        <v>9333160.9191999994</v>
      </c>
    </row>
    <row r="13" spans="1:14" ht="19.7" customHeight="1" x14ac:dyDescent="0.2">
      <c r="A13" s="146">
        <v>8</v>
      </c>
      <c r="B13" s="147" t="s">
        <v>248</v>
      </c>
      <c r="C13" s="204">
        <v>559326.86159999995</v>
      </c>
      <c r="D13" s="204">
        <v>1376794.0575999999</v>
      </c>
      <c r="E13" s="204">
        <v>2034240</v>
      </c>
      <c r="F13" s="204">
        <v>1680000</v>
      </c>
      <c r="G13" s="204">
        <v>858000</v>
      </c>
      <c r="H13" s="204">
        <v>2018400</v>
      </c>
      <c r="I13" s="186">
        <v>180000</v>
      </c>
      <c r="J13" s="186">
        <v>1131000</v>
      </c>
      <c r="K13" s="186">
        <v>0</v>
      </c>
      <c r="L13" s="398">
        <v>37105152</v>
      </c>
      <c r="M13" s="204">
        <v>8075827</v>
      </c>
      <c r="N13" s="401">
        <f t="shared" si="0"/>
        <v>55018739.919200003</v>
      </c>
    </row>
    <row r="14" spans="1:14" ht="19.7" customHeight="1" x14ac:dyDescent="0.2">
      <c r="A14" s="146">
        <v>9</v>
      </c>
      <c r="B14" s="147" t="s">
        <v>249</v>
      </c>
      <c r="C14" s="204">
        <v>559326.86159999995</v>
      </c>
      <c r="D14" s="204">
        <v>1376794.0575999999</v>
      </c>
      <c r="E14" s="204">
        <v>2034240</v>
      </c>
      <c r="F14" s="204">
        <v>1680000</v>
      </c>
      <c r="G14" s="204">
        <v>858000</v>
      </c>
      <c r="H14" s="204">
        <v>1009200</v>
      </c>
      <c r="I14" s="186">
        <v>180000</v>
      </c>
      <c r="J14" s="186">
        <v>1131000</v>
      </c>
      <c r="K14" s="186">
        <v>0</v>
      </c>
      <c r="L14" s="398">
        <v>0</v>
      </c>
      <c r="M14" s="204">
        <v>0</v>
      </c>
      <c r="N14" s="401">
        <f t="shared" si="0"/>
        <v>8828560.9191999994</v>
      </c>
    </row>
    <row r="15" spans="1:14" ht="19.7" customHeight="1" x14ac:dyDescent="0.2">
      <c r="A15" s="146">
        <v>10</v>
      </c>
      <c r="B15" s="147" t="s">
        <v>250</v>
      </c>
      <c r="C15" s="204">
        <v>559326.86159999995</v>
      </c>
      <c r="D15" s="204">
        <v>1376794.0575999999</v>
      </c>
      <c r="E15" s="204">
        <v>2034240</v>
      </c>
      <c r="F15" s="204">
        <v>1680000</v>
      </c>
      <c r="G15" s="204">
        <v>858000</v>
      </c>
      <c r="H15" s="204">
        <v>1513800</v>
      </c>
      <c r="I15" s="186">
        <v>180000</v>
      </c>
      <c r="J15" s="186">
        <v>1131000</v>
      </c>
      <c r="K15" s="186">
        <v>0</v>
      </c>
      <c r="L15" s="398">
        <v>0</v>
      </c>
      <c r="M15" s="204">
        <v>0</v>
      </c>
      <c r="N15" s="401">
        <f t="shared" si="0"/>
        <v>9333160.9191999994</v>
      </c>
    </row>
    <row r="16" spans="1:14" ht="19.7" customHeight="1" x14ac:dyDescent="0.2">
      <c r="A16" s="146">
        <v>11</v>
      </c>
      <c r="B16" s="147" t="s">
        <v>251</v>
      </c>
      <c r="C16" s="204">
        <v>559326.86159999995</v>
      </c>
      <c r="D16" s="204">
        <v>1376794.0575999999</v>
      </c>
      <c r="E16" s="204">
        <v>2034240</v>
      </c>
      <c r="F16" s="204">
        <v>1680000</v>
      </c>
      <c r="G16" s="204">
        <v>858000</v>
      </c>
      <c r="H16" s="204">
        <v>1513800</v>
      </c>
      <c r="I16" s="186">
        <v>180000</v>
      </c>
      <c r="J16" s="186">
        <v>1131000</v>
      </c>
      <c r="K16" s="186">
        <v>0</v>
      </c>
      <c r="L16" s="398">
        <v>0</v>
      </c>
      <c r="M16" s="204">
        <v>0</v>
      </c>
      <c r="N16" s="401">
        <f t="shared" si="0"/>
        <v>9333160.9191999994</v>
      </c>
    </row>
    <row r="17" spans="1:14" ht="19.7" customHeight="1" x14ac:dyDescent="0.2">
      <c r="A17" s="146">
        <v>12</v>
      </c>
      <c r="B17" s="147" t="s">
        <v>252</v>
      </c>
      <c r="C17" s="204">
        <v>559326.86159999995</v>
      </c>
      <c r="D17" s="204">
        <v>1376794.0575999999</v>
      </c>
      <c r="E17" s="204">
        <v>2034240</v>
      </c>
      <c r="F17" s="204">
        <v>1680000</v>
      </c>
      <c r="G17" s="204">
        <v>858000</v>
      </c>
      <c r="H17" s="204">
        <v>1513800</v>
      </c>
      <c r="I17" s="186">
        <v>180000</v>
      </c>
      <c r="J17" s="186">
        <v>1131000</v>
      </c>
      <c r="K17" s="186">
        <v>0</v>
      </c>
      <c r="L17" s="398">
        <v>0</v>
      </c>
      <c r="M17" s="204">
        <v>0</v>
      </c>
      <c r="N17" s="401">
        <f t="shared" si="0"/>
        <v>9333160.9191999994</v>
      </c>
    </row>
    <row r="18" spans="1:14" ht="19.7" customHeight="1" x14ac:dyDescent="0.2">
      <c r="A18" s="146">
        <v>13</v>
      </c>
      <c r="B18" s="147" t="s">
        <v>253</v>
      </c>
      <c r="C18" s="204">
        <v>559326.86159999995</v>
      </c>
      <c r="D18" s="204">
        <v>1376794.0575999999</v>
      </c>
      <c r="E18" s="204">
        <v>2034240</v>
      </c>
      <c r="F18" s="204">
        <v>1680000</v>
      </c>
      <c r="G18" s="204">
        <v>715000</v>
      </c>
      <c r="H18" s="204">
        <v>1513800</v>
      </c>
      <c r="I18" s="186">
        <v>180000</v>
      </c>
      <c r="J18" s="186">
        <v>1131000</v>
      </c>
      <c r="K18" s="186">
        <v>0</v>
      </c>
      <c r="L18" s="398">
        <v>0</v>
      </c>
      <c r="M18" s="204">
        <v>0</v>
      </c>
      <c r="N18" s="401">
        <f t="shared" si="0"/>
        <v>9190160.9191999994</v>
      </c>
    </row>
    <row r="19" spans="1:14" ht="19.7" customHeight="1" x14ac:dyDescent="0.2">
      <c r="A19" s="146">
        <v>14</v>
      </c>
      <c r="B19" s="147" t="s">
        <v>254</v>
      </c>
      <c r="C19" s="204">
        <v>559326.86159999995</v>
      </c>
      <c r="D19" s="204">
        <v>1376794.0575999999</v>
      </c>
      <c r="E19" s="204">
        <v>2034240</v>
      </c>
      <c r="F19" s="204">
        <v>1680000</v>
      </c>
      <c r="G19" s="204">
        <v>715000</v>
      </c>
      <c r="H19" s="204">
        <v>1513800</v>
      </c>
      <c r="I19" s="186">
        <v>180000</v>
      </c>
      <c r="J19" s="186">
        <v>1131000</v>
      </c>
      <c r="K19" s="186">
        <v>0</v>
      </c>
      <c r="L19" s="398">
        <v>0</v>
      </c>
      <c r="M19" s="204">
        <v>0</v>
      </c>
      <c r="N19" s="401">
        <f t="shared" si="0"/>
        <v>9190160.9191999994</v>
      </c>
    </row>
    <row r="20" spans="1:14" ht="19.7" customHeight="1" x14ac:dyDescent="0.2">
      <c r="A20" s="146">
        <v>15</v>
      </c>
      <c r="B20" s="147" t="s">
        <v>255</v>
      </c>
      <c r="C20" s="204">
        <v>559326.86159999995</v>
      </c>
      <c r="D20" s="204">
        <v>1376794.0575999999</v>
      </c>
      <c r="E20" s="204">
        <v>2034240</v>
      </c>
      <c r="F20" s="204">
        <v>1260000</v>
      </c>
      <c r="G20" s="204">
        <v>572000</v>
      </c>
      <c r="H20" s="204">
        <v>1009200</v>
      </c>
      <c r="I20" s="186">
        <v>180000</v>
      </c>
      <c r="J20" s="186">
        <v>1131000</v>
      </c>
      <c r="K20" s="186">
        <v>0</v>
      </c>
      <c r="L20" s="398">
        <v>0</v>
      </c>
      <c r="M20" s="204">
        <v>0</v>
      </c>
      <c r="N20" s="401">
        <f t="shared" si="0"/>
        <v>8122560.9191999994</v>
      </c>
    </row>
    <row r="21" spans="1:14" ht="19.7" customHeight="1" x14ac:dyDescent="0.2">
      <c r="A21" s="146">
        <v>16</v>
      </c>
      <c r="B21" s="147" t="s">
        <v>256</v>
      </c>
      <c r="C21" s="204">
        <v>559326.86159999995</v>
      </c>
      <c r="D21" s="204">
        <v>1376794.0575999999</v>
      </c>
      <c r="E21" s="204">
        <v>2034240</v>
      </c>
      <c r="F21" s="204">
        <v>1680000</v>
      </c>
      <c r="G21" s="204">
        <v>715000</v>
      </c>
      <c r="H21" s="204">
        <v>2018400</v>
      </c>
      <c r="I21" s="186">
        <v>180000</v>
      </c>
      <c r="J21" s="186">
        <v>1131000</v>
      </c>
      <c r="K21" s="186">
        <v>0</v>
      </c>
      <c r="L21" s="398">
        <v>37105152</v>
      </c>
      <c r="M21" s="204">
        <v>8075827</v>
      </c>
      <c r="N21" s="401">
        <f t="shared" si="0"/>
        <v>54875739.919200003</v>
      </c>
    </row>
    <row r="22" spans="1:14" ht="19.7" customHeight="1" x14ac:dyDescent="0.2">
      <c r="A22" s="146">
        <v>17</v>
      </c>
      <c r="B22" s="147" t="s">
        <v>257</v>
      </c>
      <c r="C22" s="204">
        <v>559326.86159999995</v>
      </c>
      <c r="D22" s="204">
        <v>1376794.0575999999</v>
      </c>
      <c r="E22" s="204">
        <v>2034240</v>
      </c>
      <c r="F22" s="204">
        <v>1680000</v>
      </c>
      <c r="G22" s="204">
        <v>572000</v>
      </c>
      <c r="H22" s="204">
        <v>2018400</v>
      </c>
      <c r="I22" s="186">
        <v>180000</v>
      </c>
      <c r="J22" s="186">
        <v>1131000</v>
      </c>
      <c r="K22" s="186">
        <v>0</v>
      </c>
      <c r="L22" s="398">
        <v>37105152</v>
      </c>
      <c r="M22" s="204">
        <v>8075827</v>
      </c>
      <c r="N22" s="401">
        <f t="shared" si="0"/>
        <v>54732739.919200003</v>
      </c>
    </row>
    <row r="23" spans="1:14" ht="19.7" customHeight="1" x14ac:dyDescent="0.2">
      <c r="A23" s="146">
        <v>18</v>
      </c>
      <c r="B23" s="147" t="s">
        <v>258</v>
      </c>
      <c r="C23" s="204">
        <v>559326.86159999995</v>
      </c>
      <c r="D23" s="204">
        <v>1376794.0575999999</v>
      </c>
      <c r="E23" s="204">
        <v>2034240</v>
      </c>
      <c r="F23" s="204">
        <v>1680000</v>
      </c>
      <c r="G23" s="204">
        <v>858000</v>
      </c>
      <c r="H23" s="204">
        <v>1513800</v>
      </c>
      <c r="I23" s="186">
        <v>180000</v>
      </c>
      <c r="J23" s="186">
        <v>1131000</v>
      </c>
      <c r="K23" s="186">
        <v>0</v>
      </c>
      <c r="L23" s="398">
        <v>0</v>
      </c>
      <c r="M23" s="204">
        <v>0</v>
      </c>
      <c r="N23" s="401">
        <f t="shared" si="0"/>
        <v>9333160.9191999994</v>
      </c>
    </row>
    <row r="24" spans="1:14" ht="19.7" customHeight="1" x14ac:dyDescent="0.2">
      <c r="A24" s="146">
        <v>19</v>
      </c>
      <c r="B24" s="147" t="s">
        <v>259</v>
      </c>
      <c r="C24" s="204">
        <v>1491538.2975999999</v>
      </c>
      <c r="D24" s="204">
        <v>3441985.1439999999</v>
      </c>
      <c r="E24" s="204">
        <v>12714000</v>
      </c>
      <c r="F24" s="204">
        <v>4200000</v>
      </c>
      <c r="G24" s="204">
        <v>1716000</v>
      </c>
      <c r="H24" s="204">
        <v>5046000</v>
      </c>
      <c r="I24" s="186">
        <v>360000</v>
      </c>
      <c r="J24" s="186">
        <v>1131000</v>
      </c>
      <c r="K24" s="186">
        <v>3380000</v>
      </c>
      <c r="L24" s="398">
        <v>61823220</v>
      </c>
      <c r="M24" s="204">
        <v>18965900</v>
      </c>
      <c r="N24" s="401">
        <f t="shared" si="0"/>
        <v>114269643.44159999</v>
      </c>
    </row>
    <row r="25" spans="1:14" ht="19.7" customHeight="1" x14ac:dyDescent="0.2">
      <c r="A25" s="146">
        <v>20</v>
      </c>
      <c r="B25" s="147" t="s">
        <v>260</v>
      </c>
      <c r="C25" s="204">
        <v>559326.86159999995</v>
      </c>
      <c r="D25" s="204">
        <v>1376794.0575999999</v>
      </c>
      <c r="E25" s="204">
        <v>2034240</v>
      </c>
      <c r="F25" s="204">
        <v>1680000</v>
      </c>
      <c r="G25" s="204">
        <v>858000</v>
      </c>
      <c r="H25" s="204">
        <v>1513800</v>
      </c>
      <c r="I25" s="186">
        <v>180000</v>
      </c>
      <c r="J25" s="186">
        <v>1131000</v>
      </c>
      <c r="K25" s="186">
        <v>0</v>
      </c>
      <c r="L25" s="398">
        <v>0</v>
      </c>
      <c r="M25" s="204">
        <v>0</v>
      </c>
      <c r="N25" s="401">
        <f t="shared" si="0"/>
        <v>9333160.9191999994</v>
      </c>
    </row>
    <row r="26" spans="1:14" ht="19.7" customHeight="1" x14ac:dyDescent="0.2">
      <c r="A26" s="146">
        <v>21</v>
      </c>
      <c r="B26" s="147" t="s">
        <v>261</v>
      </c>
      <c r="C26" s="204">
        <v>559326.86159999995</v>
      </c>
      <c r="D26" s="204">
        <v>1376794.0575999999</v>
      </c>
      <c r="E26" s="204">
        <v>2034240</v>
      </c>
      <c r="F26" s="204">
        <v>1680000</v>
      </c>
      <c r="G26" s="204">
        <v>1144000</v>
      </c>
      <c r="H26" s="204">
        <v>1513800</v>
      </c>
      <c r="I26" s="186">
        <v>180000</v>
      </c>
      <c r="J26" s="186">
        <v>1131000</v>
      </c>
      <c r="K26" s="186">
        <v>0</v>
      </c>
      <c r="L26" s="398">
        <v>42756672</v>
      </c>
      <c r="M26" s="204">
        <v>9744000</v>
      </c>
      <c r="N26" s="401">
        <f t="shared" si="0"/>
        <v>62119832.919200003</v>
      </c>
    </row>
    <row r="27" spans="1:14" ht="19.7" customHeight="1" x14ac:dyDescent="0.2">
      <c r="A27" s="365">
        <v>22</v>
      </c>
      <c r="B27" s="412" t="s">
        <v>262</v>
      </c>
      <c r="C27" s="413">
        <v>559326.86159999995</v>
      </c>
      <c r="D27" s="413">
        <v>1376794.0575999999</v>
      </c>
      <c r="E27" s="413">
        <v>2034240</v>
      </c>
      <c r="F27" s="413">
        <v>1680000</v>
      </c>
      <c r="G27" s="413">
        <v>1144000</v>
      </c>
      <c r="H27" s="413">
        <v>1513800</v>
      </c>
      <c r="I27" s="415">
        <v>180000</v>
      </c>
      <c r="J27" s="415">
        <v>1131000</v>
      </c>
      <c r="K27" s="415">
        <v>0</v>
      </c>
      <c r="L27" s="416">
        <v>37105152</v>
      </c>
      <c r="M27" s="413">
        <v>8075827</v>
      </c>
      <c r="N27" s="417">
        <f t="shared" si="0"/>
        <v>54800139.919200003</v>
      </c>
    </row>
    <row r="28" spans="1:14" ht="19.7" customHeight="1" x14ac:dyDescent="0.2">
      <c r="A28" s="360"/>
      <c r="B28" s="418"/>
      <c r="C28" s="403"/>
      <c r="D28" s="403"/>
      <c r="E28" s="403"/>
      <c r="F28" s="403"/>
      <c r="G28" s="403"/>
      <c r="H28" s="403"/>
      <c r="I28" s="406"/>
      <c r="J28" s="406"/>
      <c r="K28" s="406"/>
      <c r="L28" s="403"/>
      <c r="M28" s="403"/>
      <c r="N28" s="403"/>
    </row>
    <row r="29" spans="1:14" ht="19.7" customHeight="1" x14ac:dyDescent="0.2">
      <c r="A29" s="419"/>
      <c r="B29" s="420"/>
      <c r="C29" s="344"/>
      <c r="D29" s="344"/>
      <c r="E29" s="344"/>
      <c r="F29" s="344"/>
      <c r="G29" s="344"/>
      <c r="H29" s="344"/>
      <c r="I29" s="421"/>
      <c r="J29" s="421"/>
      <c r="K29" s="421"/>
      <c r="L29" s="344"/>
      <c r="M29" s="344"/>
      <c r="N29" s="344"/>
    </row>
    <row r="30" spans="1:14" ht="19.7" customHeight="1" x14ac:dyDescent="0.2">
      <c r="A30" s="146">
        <v>23</v>
      </c>
      <c r="B30" s="147" t="s">
        <v>263</v>
      </c>
      <c r="C30" s="204">
        <v>559326.86159999995</v>
      </c>
      <c r="D30" s="204">
        <v>1376794.0575999999</v>
      </c>
      <c r="E30" s="204">
        <v>2034240</v>
      </c>
      <c r="F30" s="204">
        <v>1260000</v>
      </c>
      <c r="G30" s="204">
        <v>572000</v>
      </c>
      <c r="H30" s="204">
        <v>2018400</v>
      </c>
      <c r="I30" s="186">
        <v>180000</v>
      </c>
      <c r="J30" s="186">
        <v>1131000</v>
      </c>
      <c r="K30" s="186">
        <v>0</v>
      </c>
      <c r="L30" s="398">
        <v>37105152</v>
      </c>
      <c r="M30" s="204">
        <v>8075827</v>
      </c>
      <c r="N30" s="401">
        <f t="shared" si="0"/>
        <v>54312739.919200003</v>
      </c>
    </row>
    <row r="31" spans="1:14" ht="19.7" customHeight="1" x14ac:dyDescent="0.2">
      <c r="A31" s="146">
        <v>24</v>
      </c>
      <c r="B31" s="147" t="s">
        <v>264</v>
      </c>
      <c r="C31" s="204">
        <v>559326.86159999995</v>
      </c>
      <c r="D31" s="204">
        <v>1376794.0575999999</v>
      </c>
      <c r="E31" s="204">
        <v>2034240</v>
      </c>
      <c r="F31" s="204">
        <v>1680000</v>
      </c>
      <c r="G31" s="204">
        <v>858000</v>
      </c>
      <c r="H31" s="204">
        <v>1513800</v>
      </c>
      <c r="I31" s="186">
        <v>180000</v>
      </c>
      <c r="J31" s="186">
        <v>1131000</v>
      </c>
      <c r="K31" s="186">
        <v>0</v>
      </c>
      <c r="L31" s="398">
        <v>33987072</v>
      </c>
      <c r="M31" s="204">
        <v>7230048</v>
      </c>
      <c r="N31" s="401">
        <f t="shared" si="0"/>
        <v>50550280.919200003</v>
      </c>
    </row>
    <row r="32" spans="1:14" ht="19.7" customHeight="1" x14ac:dyDescent="0.2">
      <c r="A32" s="146">
        <v>25</v>
      </c>
      <c r="B32" s="147" t="s">
        <v>265</v>
      </c>
      <c r="C32" s="204">
        <v>1491538.2975999999</v>
      </c>
      <c r="D32" s="204">
        <v>3441985.1439999999</v>
      </c>
      <c r="E32" s="204">
        <v>5085600</v>
      </c>
      <c r="F32" s="204">
        <v>4200000</v>
      </c>
      <c r="G32" s="204">
        <v>1144000</v>
      </c>
      <c r="H32" s="204">
        <v>5046000</v>
      </c>
      <c r="I32" s="186">
        <v>360000</v>
      </c>
      <c r="J32" s="186">
        <v>1131000</v>
      </c>
      <c r="K32" s="186">
        <v>3380000</v>
      </c>
      <c r="L32" s="398">
        <v>58250000</v>
      </c>
      <c r="M32" s="204">
        <v>15100000</v>
      </c>
      <c r="N32" s="401">
        <f t="shared" si="0"/>
        <v>98630123.441599995</v>
      </c>
    </row>
    <row r="33" spans="1:16" ht="19.7" customHeight="1" x14ac:dyDescent="0.2">
      <c r="A33" s="146">
        <v>26</v>
      </c>
      <c r="B33" s="147" t="s">
        <v>266</v>
      </c>
      <c r="C33" s="204">
        <v>559326.86159999995</v>
      </c>
      <c r="D33" s="204">
        <v>1376794.0575999999</v>
      </c>
      <c r="E33" s="204">
        <v>2034240</v>
      </c>
      <c r="F33" s="204">
        <v>1260000</v>
      </c>
      <c r="G33" s="204">
        <v>715000</v>
      </c>
      <c r="H33" s="204">
        <v>1513800</v>
      </c>
      <c r="I33" s="186">
        <v>180000</v>
      </c>
      <c r="J33" s="186">
        <v>1131000</v>
      </c>
      <c r="K33" s="186">
        <v>0</v>
      </c>
      <c r="L33" s="398">
        <v>0</v>
      </c>
      <c r="M33" s="204">
        <v>0</v>
      </c>
      <c r="N33" s="401">
        <f t="shared" si="0"/>
        <v>8770160.9191999994</v>
      </c>
    </row>
    <row r="34" spans="1:16" ht="19.7" customHeight="1" x14ac:dyDescent="0.2">
      <c r="A34" s="146">
        <v>27</v>
      </c>
      <c r="B34" s="147" t="s">
        <v>267</v>
      </c>
      <c r="C34" s="204">
        <v>559326.86159999995</v>
      </c>
      <c r="D34" s="204">
        <v>1376794.0575999999</v>
      </c>
      <c r="E34" s="204">
        <v>2034240</v>
      </c>
      <c r="F34" s="204">
        <v>1680000</v>
      </c>
      <c r="G34" s="204">
        <v>1001000</v>
      </c>
      <c r="H34" s="204">
        <v>1513800</v>
      </c>
      <c r="I34" s="186">
        <v>180000</v>
      </c>
      <c r="J34" s="186">
        <v>1131000</v>
      </c>
      <c r="K34" s="186">
        <v>0</v>
      </c>
      <c r="L34" s="398">
        <v>37105152</v>
      </c>
      <c r="M34" s="204">
        <v>8075827</v>
      </c>
      <c r="N34" s="401">
        <f t="shared" si="0"/>
        <v>54657139.919200003</v>
      </c>
    </row>
    <row r="35" spans="1:16" ht="19.7" customHeight="1" x14ac:dyDescent="0.2">
      <c r="A35" s="146">
        <v>28</v>
      </c>
      <c r="B35" s="147" t="s">
        <v>268</v>
      </c>
      <c r="C35" s="204">
        <v>559326.86159999995</v>
      </c>
      <c r="D35" s="204">
        <v>1376794.0575999999</v>
      </c>
      <c r="E35" s="204">
        <v>2034240</v>
      </c>
      <c r="F35" s="204">
        <v>2520000</v>
      </c>
      <c r="G35" s="204">
        <v>1144000</v>
      </c>
      <c r="H35" s="204">
        <v>1513800</v>
      </c>
      <c r="I35" s="186">
        <v>180000</v>
      </c>
      <c r="J35" s="186">
        <v>1131000</v>
      </c>
      <c r="K35" s="186">
        <v>0</v>
      </c>
      <c r="L35" s="398">
        <v>42756672</v>
      </c>
      <c r="M35" s="204">
        <v>9744000</v>
      </c>
      <c r="N35" s="401">
        <f t="shared" si="0"/>
        <v>62959832.919200003</v>
      </c>
    </row>
    <row r="36" spans="1:16" ht="19.7" customHeight="1" x14ac:dyDescent="0.2">
      <c r="A36" s="146">
        <v>29</v>
      </c>
      <c r="B36" s="147" t="s">
        <v>269</v>
      </c>
      <c r="C36" s="204">
        <v>559326.86159999995</v>
      </c>
      <c r="D36" s="204">
        <v>1376794.0575999999</v>
      </c>
      <c r="E36" s="204">
        <v>2034240</v>
      </c>
      <c r="F36" s="204">
        <v>1680000</v>
      </c>
      <c r="G36" s="204">
        <v>715000</v>
      </c>
      <c r="H36" s="204">
        <v>1513800</v>
      </c>
      <c r="I36" s="186">
        <v>180000</v>
      </c>
      <c r="J36" s="186">
        <v>1131000</v>
      </c>
      <c r="K36" s="186">
        <v>0</v>
      </c>
      <c r="L36" s="398">
        <v>37105152</v>
      </c>
      <c r="M36" s="204">
        <v>8075827</v>
      </c>
      <c r="N36" s="401">
        <f t="shared" si="0"/>
        <v>54371139.919200003</v>
      </c>
    </row>
    <row r="37" spans="1:16" ht="19.7" customHeight="1" x14ac:dyDescent="0.2">
      <c r="A37" s="146">
        <v>30</v>
      </c>
      <c r="B37" s="147" t="s">
        <v>270</v>
      </c>
      <c r="C37" s="204">
        <v>559326.86159999995</v>
      </c>
      <c r="D37" s="204">
        <v>1376794.0575999999</v>
      </c>
      <c r="E37" s="204">
        <v>2034240</v>
      </c>
      <c r="F37" s="204">
        <v>1260000</v>
      </c>
      <c r="G37" s="204">
        <v>1001000</v>
      </c>
      <c r="H37" s="204">
        <v>1513800</v>
      </c>
      <c r="I37" s="186">
        <v>180000</v>
      </c>
      <c r="J37" s="186">
        <v>1131000</v>
      </c>
      <c r="K37" s="186">
        <v>0</v>
      </c>
      <c r="L37" s="398">
        <v>0</v>
      </c>
      <c r="M37" s="204">
        <v>0</v>
      </c>
      <c r="N37" s="401">
        <f t="shared" si="0"/>
        <v>9056160.9191999994</v>
      </c>
    </row>
    <row r="38" spans="1:16" ht="19.7" customHeight="1" x14ac:dyDescent="0.2">
      <c r="A38" s="146">
        <v>31</v>
      </c>
      <c r="B38" s="147" t="s">
        <v>271</v>
      </c>
      <c r="C38" s="204">
        <v>559326.86159999995</v>
      </c>
      <c r="D38" s="204">
        <v>1376794.0575999999</v>
      </c>
      <c r="E38" s="204">
        <v>2034240</v>
      </c>
      <c r="F38" s="204">
        <v>1680000</v>
      </c>
      <c r="G38" s="204">
        <v>858000</v>
      </c>
      <c r="H38" s="204">
        <v>1513800</v>
      </c>
      <c r="I38" s="186">
        <v>180000</v>
      </c>
      <c r="J38" s="186">
        <v>1131000</v>
      </c>
      <c r="K38" s="186">
        <v>0</v>
      </c>
      <c r="L38" s="398">
        <v>42756672</v>
      </c>
      <c r="M38" s="204">
        <v>9744000</v>
      </c>
      <c r="N38" s="401">
        <f t="shared" si="0"/>
        <v>61833832.919200003</v>
      </c>
    </row>
    <row r="39" spans="1:16" ht="19.7" customHeight="1" x14ac:dyDescent="0.2">
      <c r="A39" s="146">
        <v>32</v>
      </c>
      <c r="B39" s="147" t="s">
        <v>272</v>
      </c>
      <c r="C39" s="204">
        <v>559326.86159999995</v>
      </c>
      <c r="D39" s="204">
        <v>1376794.0575999999</v>
      </c>
      <c r="E39" s="204">
        <v>2034240</v>
      </c>
      <c r="F39" s="204">
        <v>1260000</v>
      </c>
      <c r="G39" s="204">
        <v>572000</v>
      </c>
      <c r="H39" s="204">
        <v>1009200</v>
      </c>
      <c r="I39" s="186">
        <v>180000</v>
      </c>
      <c r="J39" s="186">
        <v>1131000</v>
      </c>
      <c r="K39" s="186">
        <v>0</v>
      </c>
      <c r="L39" s="398">
        <v>0</v>
      </c>
      <c r="M39" s="204">
        <v>0</v>
      </c>
      <c r="N39" s="401">
        <f t="shared" si="0"/>
        <v>8122560.9191999994</v>
      </c>
    </row>
    <row r="40" spans="1:16" ht="19.7" customHeight="1" x14ac:dyDescent="0.2">
      <c r="A40" s="146">
        <v>33</v>
      </c>
      <c r="B40" s="147" t="s">
        <v>273</v>
      </c>
      <c r="C40" s="204">
        <v>559326.86159999995</v>
      </c>
      <c r="D40" s="204">
        <v>1376794.0575999999</v>
      </c>
      <c r="E40" s="204">
        <v>2034240</v>
      </c>
      <c r="F40" s="204">
        <v>1680000</v>
      </c>
      <c r="G40" s="204">
        <v>1144000</v>
      </c>
      <c r="H40" s="204">
        <v>1009200</v>
      </c>
      <c r="I40" s="186">
        <v>180000</v>
      </c>
      <c r="J40" s="186">
        <v>1131000</v>
      </c>
      <c r="K40" s="186">
        <v>0</v>
      </c>
      <c r="L40" s="398">
        <v>0</v>
      </c>
      <c r="M40" s="204">
        <v>0</v>
      </c>
      <c r="N40" s="401">
        <f t="shared" si="0"/>
        <v>9114560.9191999994</v>
      </c>
    </row>
    <row r="41" spans="1:16" ht="19.7" customHeight="1" x14ac:dyDescent="0.2">
      <c r="A41" s="146">
        <v>34</v>
      </c>
      <c r="B41" s="147" t="s">
        <v>274</v>
      </c>
      <c r="C41" s="204">
        <v>559326.86159999995</v>
      </c>
      <c r="D41" s="204">
        <v>1376794.0575999999</v>
      </c>
      <c r="E41" s="204">
        <v>2034240</v>
      </c>
      <c r="F41" s="204">
        <v>1680000</v>
      </c>
      <c r="G41" s="204">
        <v>572000</v>
      </c>
      <c r="H41" s="204">
        <v>1009200</v>
      </c>
      <c r="I41" s="186">
        <v>180000</v>
      </c>
      <c r="J41" s="186">
        <v>1131000</v>
      </c>
      <c r="K41" s="186">
        <v>0</v>
      </c>
      <c r="L41" s="398">
        <v>0</v>
      </c>
      <c r="M41" s="204">
        <v>0</v>
      </c>
      <c r="N41" s="401">
        <f t="shared" si="0"/>
        <v>8542560.9191999994</v>
      </c>
    </row>
    <row r="42" spans="1:16" ht="19.7" customHeight="1" x14ac:dyDescent="0.2">
      <c r="A42" s="146">
        <v>35</v>
      </c>
      <c r="B42" s="147" t="s">
        <v>275</v>
      </c>
      <c r="C42" s="204">
        <v>559326.86159999995</v>
      </c>
      <c r="D42" s="204">
        <v>1376794.0575999999</v>
      </c>
      <c r="E42" s="204">
        <v>2034240</v>
      </c>
      <c r="F42" s="204">
        <v>1680000</v>
      </c>
      <c r="G42" s="204">
        <v>715000</v>
      </c>
      <c r="H42" s="204">
        <v>1513800</v>
      </c>
      <c r="I42" s="186">
        <v>180000</v>
      </c>
      <c r="J42" s="186">
        <v>1131000</v>
      </c>
      <c r="K42" s="186">
        <v>0</v>
      </c>
      <c r="L42" s="398">
        <v>37105152</v>
      </c>
      <c r="M42" s="204">
        <v>8075827</v>
      </c>
      <c r="N42" s="401">
        <f t="shared" si="0"/>
        <v>54371139.919200003</v>
      </c>
    </row>
    <row r="43" spans="1:16" ht="19.7" customHeight="1" x14ac:dyDescent="0.2">
      <c r="A43" s="146">
        <v>36</v>
      </c>
      <c r="B43" s="147" t="s">
        <v>296</v>
      </c>
      <c r="C43" s="204">
        <v>1491538.2975999999</v>
      </c>
      <c r="D43" s="204">
        <v>3441985.1439999999</v>
      </c>
      <c r="E43" s="204">
        <v>12714000</v>
      </c>
      <c r="F43" s="204">
        <v>4200000</v>
      </c>
      <c r="G43" s="204">
        <v>2002000</v>
      </c>
      <c r="H43" s="204">
        <v>5046000</v>
      </c>
      <c r="I43" s="186">
        <v>360000</v>
      </c>
      <c r="J43" s="186">
        <v>1131000</v>
      </c>
      <c r="K43" s="186">
        <v>3380000</v>
      </c>
      <c r="L43" s="398">
        <v>63823220</v>
      </c>
      <c r="M43" s="204">
        <v>18965900</v>
      </c>
      <c r="N43" s="401">
        <f t="shared" si="0"/>
        <v>116555643.44159999</v>
      </c>
    </row>
    <row r="44" spans="1:16" ht="19.7" customHeight="1" x14ac:dyDescent="0.2">
      <c r="A44" s="146">
        <v>37</v>
      </c>
      <c r="B44" s="147" t="s">
        <v>277</v>
      </c>
      <c r="C44" s="204">
        <v>1491538.2975999999</v>
      </c>
      <c r="D44" s="204">
        <v>3441985.1439999999</v>
      </c>
      <c r="E44" s="204">
        <v>2542800</v>
      </c>
      <c r="F44" s="204">
        <v>6300000</v>
      </c>
      <c r="G44" s="204">
        <v>2002000</v>
      </c>
      <c r="H44" s="204">
        <v>5046000</v>
      </c>
      <c r="I44" s="186">
        <v>360000</v>
      </c>
      <c r="J44" s="186">
        <v>1131000</v>
      </c>
      <c r="K44" s="186">
        <v>3380000</v>
      </c>
      <c r="L44" s="398">
        <v>63823220</v>
      </c>
      <c r="M44" s="204">
        <v>18965900</v>
      </c>
      <c r="N44" s="401">
        <f t="shared" si="0"/>
        <v>108484443.44159999</v>
      </c>
    </row>
    <row r="45" spans="1:16" ht="19.7" customHeight="1" x14ac:dyDescent="0.2">
      <c r="A45" s="146">
        <v>38</v>
      </c>
      <c r="B45" s="147" t="s">
        <v>278</v>
      </c>
      <c r="C45" s="204">
        <v>1491538.2975999999</v>
      </c>
      <c r="D45" s="204">
        <v>3441985.1439999999</v>
      </c>
      <c r="E45" s="204">
        <v>12714000</v>
      </c>
      <c r="F45" s="204">
        <v>4200000</v>
      </c>
      <c r="G45" s="204">
        <v>2002000</v>
      </c>
      <c r="H45" s="204">
        <v>5046000</v>
      </c>
      <c r="I45" s="186">
        <v>360000</v>
      </c>
      <c r="J45" s="186">
        <v>1131000</v>
      </c>
      <c r="K45" s="186">
        <v>3380000</v>
      </c>
      <c r="L45" s="398">
        <v>0</v>
      </c>
      <c r="M45" s="204">
        <v>0</v>
      </c>
      <c r="N45" s="401">
        <f t="shared" si="0"/>
        <v>33766523.441599995</v>
      </c>
    </row>
    <row r="46" spans="1:16" ht="19.7" customHeight="1" x14ac:dyDescent="0.2">
      <c r="A46" s="146">
        <v>39</v>
      </c>
      <c r="B46" s="147" t="s">
        <v>279</v>
      </c>
      <c r="C46" s="204">
        <v>559326.86159999995</v>
      </c>
      <c r="D46" s="204">
        <v>1376794.0575999999</v>
      </c>
      <c r="E46" s="204">
        <v>1017120</v>
      </c>
      <c r="F46" s="204">
        <v>1260000</v>
      </c>
      <c r="G46" s="204">
        <v>572000</v>
      </c>
      <c r="H46" s="204">
        <v>1009200</v>
      </c>
      <c r="I46" s="186">
        <v>180000</v>
      </c>
      <c r="J46" s="186">
        <v>1131000</v>
      </c>
      <c r="K46" s="186">
        <v>0</v>
      </c>
      <c r="L46" s="398">
        <v>0</v>
      </c>
      <c r="M46" s="204">
        <v>0</v>
      </c>
      <c r="N46" s="401">
        <f t="shared" si="0"/>
        <v>7105440.9191999994</v>
      </c>
    </row>
    <row r="47" spans="1:16" ht="19.7" customHeight="1" x14ac:dyDescent="0.2">
      <c r="A47" s="359">
        <v>40</v>
      </c>
      <c r="B47" s="147" t="s">
        <v>1851</v>
      </c>
      <c r="C47" s="413">
        <v>9322114.3599999994</v>
      </c>
      <c r="D47" s="204">
        <v>1376794.0575999999</v>
      </c>
      <c r="E47" s="204">
        <v>12714000</v>
      </c>
      <c r="F47" s="204">
        <v>1680000</v>
      </c>
      <c r="G47" s="204">
        <v>1716000</v>
      </c>
      <c r="H47" s="204">
        <v>2523000</v>
      </c>
      <c r="I47" s="186">
        <v>180000</v>
      </c>
      <c r="J47" s="186">
        <v>1131000</v>
      </c>
      <c r="K47" s="186">
        <v>3380000</v>
      </c>
      <c r="L47" s="398">
        <v>10000000</v>
      </c>
      <c r="M47" s="204">
        <v>0</v>
      </c>
      <c r="N47" s="401">
        <f t="shared" si="0"/>
        <v>44022908.417599998</v>
      </c>
      <c r="O47" s="209"/>
      <c r="P47" s="210"/>
    </row>
    <row r="48" spans="1:16" ht="19.7" customHeight="1" x14ac:dyDescent="0.2">
      <c r="A48" s="194"/>
      <c r="B48" s="414" t="s">
        <v>297</v>
      </c>
      <c r="C48" s="196">
        <f t="shared" ref="C48:L48" si="1">SUM(C6:C47)</f>
        <v>36729130.578400016</v>
      </c>
      <c r="D48" s="196">
        <f t="shared" si="1"/>
        <v>67462908.822399989</v>
      </c>
      <c r="E48" s="196">
        <f t="shared" si="1"/>
        <v>136039800</v>
      </c>
      <c r="F48" s="196">
        <f t="shared" si="1"/>
        <v>82740000</v>
      </c>
      <c r="G48" s="196">
        <f t="shared" si="1"/>
        <v>39754000</v>
      </c>
      <c r="H48" s="196">
        <f t="shared" si="1"/>
        <v>82754400</v>
      </c>
      <c r="I48" s="206">
        <f t="shared" si="1"/>
        <v>8280000</v>
      </c>
      <c r="J48" s="196">
        <f t="shared" si="1"/>
        <v>45240000</v>
      </c>
      <c r="K48" s="196">
        <f t="shared" si="1"/>
        <v>23660000</v>
      </c>
      <c r="L48" s="399">
        <f t="shared" si="1"/>
        <v>886383420</v>
      </c>
      <c r="M48" s="196">
        <f t="shared" ref="M48:N48" si="2">SUM(M6:M47)</f>
        <v>212393845</v>
      </c>
      <c r="N48" s="203">
        <f t="shared" si="2"/>
        <v>1621437504.4007995</v>
      </c>
      <c r="O48" s="209"/>
      <c r="P48" s="211"/>
    </row>
    <row r="49" spans="1:16" ht="19.7" customHeight="1" x14ac:dyDescent="0.2">
      <c r="A49" s="194"/>
      <c r="B49" s="207" t="s">
        <v>282</v>
      </c>
      <c r="C49" s="196">
        <f t="shared" ref="C49:L49" si="3">C48*16%</f>
        <v>5876660.8925440023</v>
      </c>
      <c r="D49" s="196">
        <f t="shared" si="3"/>
        <v>10794065.411583999</v>
      </c>
      <c r="E49" s="196">
        <f t="shared" ref="E49" si="4">E48*16%</f>
        <v>21766368</v>
      </c>
      <c r="F49" s="196">
        <f t="shared" si="3"/>
        <v>13238400</v>
      </c>
      <c r="G49" s="196">
        <f t="shared" si="3"/>
        <v>6360640</v>
      </c>
      <c r="H49" s="196">
        <f t="shared" si="3"/>
        <v>13240704</v>
      </c>
      <c r="I49" s="196">
        <f t="shared" si="3"/>
        <v>1324800</v>
      </c>
      <c r="J49" s="196">
        <f t="shared" si="3"/>
        <v>7238400</v>
      </c>
      <c r="K49" s="196">
        <f t="shared" si="3"/>
        <v>3785600</v>
      </c>
      <c r="L49" s="399">
        <f t="shared" si="3"/>
        <v>141821347.19999999</v>
      </c>
      <c r="M49" s="196">
        <f t="shared" ref="M49:N49" si="5">M48*16%</f>
        <v>33983015.200000003</v>
      </c>
      <c r="N49" s="203">
        <f t="shared" si="5"/>
        <v>259430000.70412794</v>
      </c>
      <c r="P49" s="212"/>
    </row>
    <row r="50" spans="1:16" ht="19.7" customHeight="1" x14ac:dyDescent="0.2">
      <c r="A50" s="194"/>
      <c r="B50" s="207" t="s">
        <v>298</v>
      </c>
      <c r="C50" s="196">
        <f t="shared" ref="C50:L50" si="6">C48+C49</f>
        <v>42605791.470944017</v>
      </c>
      <c r="D50" s="196">
        <f t="shared" si="6"/>
        <v>78256974.233983994</v>
      </c>
      <c r="E50" s="196">
        <f t="shared" ref="E50" si="7">E48+E49</f>
        <v>157806168</v>
      </c>
      <c r="F50" s="196">
        <f t="shared" si="6"/>
        <v>95978400</v>
      </c>
      <c r="G50" s="196">
        <f t="shared" si="6"/>
        <v>46114640</v>
      </c>
      <c r="H50" s="196">
        <f t="shared" si="6"/>
        <v>95995104</v>
      </c>
      <c r="I50" s="196">
        <f t="shared" si="6"/>
        <v>9604800</v>
      </c>
      <c r="J50" s="196">
        <f t="shared" si="6"/>
        <v>52478400</v>
      </c>
      <c r="K50" s="196">
        <f t="shared" si="6"/>
        <v>27445600</v>
      </c>
      <c r="L50" s="402">
        <f t="shared" si="6"/>
        <v>1028204767.2</v>
      </c>
      <c r="M50" s="196">
        <f t="shared" ref="M50" si="8">M48+M49</f>
        <v>246376860.19999999</v>
      </c>
      <c r="N50" s="203">
        <f>SUM(C50:M50)</f>
        <v>1880867505.1049283</v>
      </c>
      <c r="P50" s="212"/>
    </row>
    <row r="51" spans="1:16" ht="28.35" customHeight="1" x14ac:dyDescent="0.2">
      <c r="A51" s="888"/>
      <c r="B51" s="888"/>
      <c r="C51" s="888"/>
      <c r="D51" s="889"/>
      <c r="E51" s="889"/>
      <c r="F51" s="889"/>
      <c r="G51" s="889"/>
      <c r="H51" s="889"/>
      <c r="I51" s="889"/>
      <c r="J51" s="889"/>
      <c r="K51" s="889"/>
      <c r="L51" s="889"/>
      <c r="M51" s="393"/>
      <c r="N51" s="392"/>
      <c r="P51" s="210"/>
    </row>
  </sheetData>
  <mergeCells count="3">
    <mergeCell ref="A4:N4"/>
    <mergeCell ref="A51:L51"/>
    <mergeCell ref="A3:N3"/>
  </mergeCells>
  <printOptions horizontalCentered="1"/>
  <pageMargins left="0.7" right="0.7" top="0.75" bottom="0.75" header="0.3" footer="0.3"/>
  <pageSetup paperSize="5" scale="85" orientation="landscape" r:id="rId1"/>
  <headerFooter>
    <oddFooter xml:space="preserve">&amp;C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O50"/>
  <sheetViews>
    <sheetView view="pageLayout" topLeftCell="B1" zoomScaleNormal="90" workbookViewId="0">
      <selection activeCell="I23" sqref="I23"/>
    </sheetView>
  </sheetViews>
  <sheetFormatPr baseColWidth="10" defaultRowHeight="15" x14ac:dyDescent="0.25"/>
  <cols>
    <col min="1" max="1" width="6.28515625" style="10" customWidth="1"/>
    <col min="2" max="2" width="23.42578125" style="10" customWidth="1"/>
    <col min="3" max="14" width="11.42578125" style="10"/>
    <col min="15" max="15" width="11.42578125" style="404"/>
    <col min="16" max="16384" width="11.42578125" style="10"/>
  </cols>
  <sheetData>
    <row r="3" spans="1:15" x14ac:dyDescent="0.25">
      <c r="A3" s="890" t="s">
        <v>286</v>
      </c>
      <c r="B3" s="890"/>
      <c r="C3" s="890"/>
      <c r="D3" s="890"/>
      <c r="E3" s="890"/>
      <c r="F3" s="890"/>
      <c r="G3" s="890"/>
      <c r="H3" s="890"/>
      <c r="I3" s="890"/>
      <c r="J3" s="890"/>
      <c r="K3" s="890"/>
      <c r="L3" s="890"/>
      <c r="M3" s="890"/>
      <c r="N3" s="890"/>
      <c r="O3" s="890"/>
    </row>
    <row r="4" spans="1:15" x14ac:dyDescent="0.25">
      <c r="A4" s="867" t="s">
        <v>1440</v>
      </c>
      <c r="B4" s="867"/>
      <c r="C4" s="867"/>
      <c r="D4" s="867"/>
      <c r="E4" s="867"/>
      <c r="F4" s="867"/>
      <c r="G4" s="867"/>
      <c r="H4" s="867"/>
      <c r="I4" s="867"/>
      <c r="J4" s="867"/>
      <c r="K4" s="867"/>
      <c r="L4" s="867"/>
      <c r="M4" s="867"/>
      <c r="N4" s="867"/>
      <c r="O4" s="867"/>
    </row>
    <row r="5" spans="1:15" ht="114.75" customHeight="1" x14ac:dyDescent="0.25">
      <c r="A5" s="356" t="s">
        <v>233</v>
      </c>
      <c r="B5" s="357" t="s">
        <v>287</v>
      </c>
      <c r="C5" s="400" t="s">
        <v>1447</v>
      </c>
      <c r="D5" s="361" t="s">
        <v>293</v>
      </c>
      <c r="E5" s="361" t="s">
        <v>1654</v>
      </c>
      <c r="F5" s="361" t="s">
        <v>1513</v>
      </c>
      <c r="G5" s="361" t="s">
        <v>294</v>
      </c>
      <c r="H5" s="361" t="s">
        <v>1484</v>
      </c>
      <c r="I5" s="361" t="s">
        <v>1485</v>
      </c>
      <c r="J5" s="361" t="s">
        <v>1653</v>
      </c>
      <c r="K5" s="361" t="s">
        <v>1486</v>
      </c>
      <c r="L5" s="361" t="s">
        <v>485</v>
      </c>
      <c r="M5" s="361" t="s">
        <v>1493</v>
      </c>
      <c r="N5" s="361" t="s">
        <v>1495</v>
      </c>
      <c r="O5" s="361" t="s">
        <v>284</v>
      </c>
    </row>
    <row r="6" spans="1:15" ht="18" customHeight="1" x14ac:dyDescent="0.25">
      <c r="A6" s="359">
        <v>1</v>
      </c>
      <c r="B6" s="147" t="s">
        <v>241</v>
      </c>
      <c r="C6" s="401">
        <v>12082560</v>
      </c>
      <c r="D6" s="204">
        <v>0</v>
      </c>
      <c r="E6" s="204">
        <v>52000</v>
      </c>
      <c r="F6" s="204">
        <v>120000</v>
      </c>
      <c r="G6" s="204">
        <v>65800</v>
      </c>
      <c r="H6" s="204">
        <v>0</v>
      </c>
      <c r="I6" s="186">
        <v>0</v>
      </c>
      <c r="J6" s="186">
        <v>0</v>
      </c>
      <c r="K6" s="186">
        <v>240000</v>
      </c>
      <c r="L6" s="204">
        <v>0</v>
      </c>
      <c r="M6" s="204">
        <v>3427580</v>
      </c>
      <c r="N6" s="204">
        <v>0</v>
      </c>
      <c r="O6" s="204">
        <f>SUM(C6:N6)</f>
        <v>15987940</v>
      </c>
    </row>
    <row r="7" spans="1:15" ht="18" customHeight="1" x14ac:dyDescent="0.25">
      <c r="A7" s="359">
        <v>2</v>
      </c>
      <c r="B7" s="147" t="s">
        <v>242</v>
      </c>
      <c r="C7" s="401">
        <v>15200000</v>
      </c>
      <c r="D7" s="204">
        <v>650000</v>
      </c>
      <c r="E7" s="204">
        <v>52000</v>
      </c>
      <c r="F7" s="204">
        <v>240000</v>
      </c>
      <c r="G7" s="204">
        <v>131600</v>
      </c>
      <c r="H7" s="204">
        <v>5648272</v>
      </c>
      <c r="I7" s="186">
        <v>5791500</v>
      </c>
      <c r="J7" s="186">
        <v>3600000</v>
      </c>
      <c r="K7" s="186">
        <v>1280000</v>
      </c>
      <c r="L7" s="204">
        <v>16900000</v>
      </c>
      <c r="M7" s="204">
        <v>8568950</v>
      </c>
      <c r="N7" s="204">
        <v>812500</v>
      </c>
      <c r="O7" s="204">
        <f t="shared" ref="O7:O50" si="0">SUM(C7:N7)</f>
        <v>58874822</v>
      </c>
    </row>
    <row r="8" spans="1:15" ht="18" customHeight="1" x14ac:dyDescent="0.25">
      <c r="A8" s="359">
        <v>3</v>
      </c>
      <c r="B8" s="147" t="s">
        <v>243</v>
      </c>
      <c r="C8" s="401">
        <v>12082560</v>
      </c>
      <c r="D8" s="204">
        <v>0</v>
      </c>
      <c r="E8" s="204">
        <v>52000</v>
      </c>
      <c r="F8" s="204">
        <v>120000</v>
      </c>
      <c r="G8" s="204">
        <v>65800</v>
      </c>
      <c r="H8" s="204">
        <v>0</v>
      </c>
      <c r="I8" s="186">
        <v>0</v>
      </c>
      <c r="J8" s="186">
        <v>0</v>
      </c>
      <c r="K8" s="186">
        <v>240000</v>
      </c>
      <c r="L8" s="204">
        <v>0</v>
      </c>
      <c r="M8" s="204">
        <v>3427580</v>
      </c>
      <c r="N8" s="204">
        <v>0</v>
      </c>
      <c r="O8" s="204">
        <f t="shared" si="0"/>
        <v>15987940</v>
      </c>
    </row>
    <row r="9" spans="1:15" ht="18" customHeight="1" x14ac:dyDescent="0.25">
      <c r="A9" s="359">
        <v>4</v>
      </c>
      <c r="B9" s="147" t="s">
        <v>244</v>
      </c>
      <c r="C9" s="401">
        <v>0</v>
      </c>
      <c r="D9" s="204">
        <v>0</v>
      </c>
      <c r="E9" s="204">
        <v>52000</v>
      </c>
      <c r="F9" s="204">
        <v>120000</v>
      </c>
      <c r="G9" s="204">
        <v>65800</v>
      </c>
      <c r="H9" s="204">
        <v>0</v>
      </c>
      <c r="I9" s="186">
        <v>0</v>
      </c>
      <c r="J9" s="186">
        <v>0</v>
      </c>
      <c r="K9" s="186">
        <v>240000</v>
      </c>
      <c r="L9" s="204">
        <v>0</v>
      </c>
      <c r="M9" s="204">
        <v>3427580</v>
      </c>
      <c r="N9" s="204">
        <v>0</v>
      </c>
      <c r="O9" s="204">
        <f t="shared" si="0"/>
        <v>3905380</v>
      </c>
    </row>
    <row r="10" spans="1:15" ht="18" customHeight="1" x14ac:dyDescent="0.25">
      <c r="A10" s="359">
        <v>5</v>
      </c>
      <c r="B10" s="147" t="s">
        <v>245</v>
      </c>
      <c r="C10" s="401">
        <v>12082560</v>
      </c>
      <c r="D10" s="204">
        <v>0</v>
      </c>
      <c r="E10" s="204">
        <v>52000</v>
      </c>
      <c r="F10" s="204">
        <v>120000</v>
      </c>
      <c r="G10" s="204">
        <v>65800</v>
      </c>
      <c r="H10" s="204">
        <v>0</v>
      </c>
      <c r="I10" s="186">
        <v>0</v>
      </c>
      <c r="J10" s="186">
        <v>0</v>
      </c>
      <c r="K10" s="186">
        <v>240000</v>
      </c>
      <c r="L10" s="204">
        <v>0</v>
      </c>
      <c r="M10" s="204">
        <v>3427580</v>
      </c>
      <c r="N10" s="204">
        <v>0</v>
      </c>
      <c r="O10" s="204">
        <f t="shared" si="0"/>
        <v>15987940</v>
      </c>
    </row>
    <row r="11" spans="1:15" ht="18" customHeight="1" x14ac:dyDescent="0.25">
      <c r="A11" s="359">
        <v>6</v>
      </c>
      <c r="B11" s="147" t="s">
        <v>246</v>
      </c>
      <c r="C11" s="401">
        <v>0</v>
      </c>
      <c r="D11" s="204">
        <v>0</v>
      </c>
      <c r="E11" s="204">
        <v>52000</v>
      </c>
      <c r="F11" s="204">
        <v>120000</v>
      </c>
      <c r="G11" s="204">
        <v>65800</v>
      </c>
      <c r="H11" s="204">
        <v>0</v>
      </c>
      <c r="I11" s="186">
        <v>0</v>
      </c>
      <c r="J11" s="186">
        <v>0</v>
      </c>
      <c r="K11" s="186">
        <v>240000</v>
      </c>
      <c r="L11" s="204">
        <v>0</v>
      </c>
      <c r="M11" s="204">
        <v>3427580</v>
      </c>
      <c r="N11" s="204">
        <v>0</v>
      </c>
      <c r="O11" s="204">
        <f t="shared" si="0"/>
        <v>3905380</v>
      </c>
    </row>
    <row r="12" spans="1:15" ht="18" customHeight="1" x14ac:dyDescent="0.25">
      <c r="A12" s="359">
        <v>7</v>
      </c>
      <c r="B12" s="147" t="s">
        <v>247</v>
      </c>
      <c r="C12" s="401">
        <v>0</v>
      </c>
      <c r="D12" s="204">
        <v>0</v>
      </c>
      <c r="E12" s="204">
        <v>52000</v>
      </c>
      <c r="F12" s="204">
        <v>120000</v>
      </c>
      <c r="G12" s="204">
        <v>65800</v>
      </c>
      <c r="H12" s="204">
        <v>0</v>
      </c>
      <c r="I12" s="186">
        <v>0</v>
      </c>
      <c r="J12" s="186">
        <v>0</v>
      </c>
      <c r="K12" s="186">
        <v>240000</v>
      </c>
      <c r="L12" s="204">
        <v>0</v>
      </c>
      <c r="M12" s="204">
        <v>3427580</v>
      </c>
      <c r="N12" s="204">
        <v>0</v>
      </c>
      <c r="O12" s="204">
        <f t="shared" si="0"/>
        <v>3905380</v>
      </c>
    </row>
    <row r="13" spans="1:15" ht="18" customHeight="1" x14ac:dyDescent="0.25">
      <c r="A13" s="359">
        <v>8</v>
      </c>
      <c r="B13" s="147" t="s">
        <v>248</v>
      </c>
      <c r="C13" s="401">
        <v>12082560</v>
      </c>
      <c r="D13" s="204">
        <v>0</v>
      </c>
      <c r="E13" s="204">
        <v>52000</v>
      </c>
      <c r="F13" s="204">
        <v>120000</v>
      </c>
      <c r="G13" s="204">
        <v>65800</v>
      </c>
      <c r="H13" s="204">
        <v>0</v>
      </c>
      <c r="I13" s="186">
        <v>0</v>
      </c>
      <c r="J13" s="186">
        <v>0</v>
      </c>
      <c r="K13" s="186">
        <v>240000</v>
      </c>
      <c r="L13" s="204">
        <v>0</v>
      </c>
      <c r="M13" s="204">
        <v>3427580</v>
      </c>
      <c r="N13" s="204">
        <v>0</v>
      </c>
      <c r="O13" s="204">
        <f t="shared" si="0"/>
        <v>15987940</v>
      </c>
    </row>
    <row r="14" spans="1:15" ht="18" customHeight="1" x14ac:dyDescent="0.25">
      <c r="A14" s="359">
        <v>9</v>
      </c>
      <c r="B14" s="147" t="s">
        <v>249</v>
      </c>
      <c r="C14" s="401">
        <v>0</v>
      </c>
      <c r="D14" s="204">
        <v>0</v>
      </c>
      <c r="E14" s="204">
        <v>52000</v>
      </c>
      <c r="F14" s="204">
        <v>120000</v>
      </c>
      <c r="G14" s="204">
        <v>65800</v>
      </c>
      <c r="H14" s="204">
        <v>0</v>
      </c>
      <c r="I14" s="186">
        <v>0</v>
      </c>
      <c r="J14" s="186">
        <v>0</v>
      </c>
      <c r="K14" s="186">
        <v>240000</v>
      </c>
      <c r="L14" s="204">
        <v>0</v>
      </c>
      <c r="M14" s="204">
        <v>1713790</v>
      </c>
      <c r="N14" s="204">
        <v>0</v>
      </c>
      <c r="O14" s="204">
        <f t="shared" si="0"/>
        <v>2191590</v>
      </c>
    </row>
    <row r="15" spans="1:15" ht="18" customHeight="1" x14ac:dyDescent="0.25">
      <c r="A15" s="359">
        <v>10</v>
      </c>
      <c r="B15" s="147" t="s">
        <v>250</v>
      </c>
      <c r="C15" s="401">
        <v>0</v>
      </c>
      <c r="D15" s="204">
        <v>0</v>
      </c>
      <c r="E15" s="204">
        <v>52000</v>
      </c>
      <c r="F15" s="204">
        <v>120000</v>
      </c>
      <c r="G15" s="204">
        <v>65800</v>
      </c>
      <c r="H15" s="204">
        <v>0</v>
      </c>
      <c r="I15" s="186">
        <v>0</v>
      </c>
      <c r="J15" s="186">
        <v>0</v>
      </c>
      <c r="K15" s="186">
        <v>240000</v>
      </c>
      <c r="L15" s="204">
        <v>0</v>
      </c>
      <c r="M15" s="204">
        <v>3427580</v>
      </c>
      <c r="N15" s="204">
        <v>0</v>
      </c>
      <c r="O15" s="204">
        <f t="shared" si="0"/>
        <v>3905380</v>
      </c>
    </row>
    <row r="16" spans="1:15" ht="18" customHeight="1" x14ac:dyDescent="0.25">
      <c r="A16" s="359">
        <v>11</v>
      </c>
      <c r="B16" s="147" t="s">
        <v>251</v>
      </c>
      <c r="C16" s="401">
        <v>0</v>
      </c>
      <c r="D16" s="204">
        <v>0</v>
      </c>
      <c r="E16" s="204">
        <v>52000</v>
      </c>
      <c r="F16" s="204">
        <v>120000</v>
      </c>
      <c r="G16" s="204">
        <v>65800</v>
      </c>
      <c r="H16" s="204">
        <v>0</v>
      </c>
      <c r="I16" s="186">
        <v>0</v>
      </c>
      <c r="J16" s="186">
        <v>0</v>
      </c>
      <c r="K16" s="186">
        <v>240000</v>
      </c>
      <c r="L16" s="204">
        <v>0</v>
      </c>
      <c r="M16" s="204">
        <v>3427580</v>
      </c>
      <c r="N16" s="204">
        <v>0</v>
      </c>
      <c r="O16" s="204">
        <f t="shared" si="0"/>
        <v>3905380</v>
      </c>
    </row>
    <row r="17" spans="1:15" ht="18" customHeight="1" x14ac:dyDescent="0.25">
      <c r="A17" s="359">
        <v>12</v>
      </c>
      <c r="B17" s="147" t="s">
        <v>252</v>
      </c>
      <c r="C17" s="401">
        <v>0</v>
      </c>
      <c r="D17" s="204">
        <v>0</v>
      </c>
      <c r="E17" s="204">
        <v>52000</v>
      </c>
      <c r="F17" s="204">
        <v>120000</v>
      </c>
      <c r="G17" s="204">
        <v>65800</v>
      </c>
      <c r="H17" s="204">
        <v>0</v>
      </c>
      <c r="I17" s="186">
        <v>0</v>
      </c>
      <c r="J17" s="186">
        <v>0</v>
      </c>
      <c r="K17" s="186">
        <v>240000</v>
      </c>
      <c r="L17" s="204">
        <v>0</v>
      </c>
      <c r="M17" s="204">
        <v>3427580</v>
      </c>
      <c r="N17" s="204">
        <v>0</v>
      </c>
      <c r="O17" s="204">
        <f t="shared" si="0"/>
        <v>3905380</v>
      </c>
    </row>
    <row r="18" spans="1:15" ht="18" customHeight="1" x14ac:dyDescent="0.25">
      <c r="A18" s="359">
        <v>13</v>
      </c>
      <c r="B18" s="147" t="s">
        <v>253</v>
      </c>
      <c r="C18" s="401">
        <v>0</v>
      </c>
      <c r="D18" s="204">
        <v>0</v>
      </c>
      <c r="E18" s="204">
        <v>52000</v>
      </c>
      <c r="F18" s="204">
        <v>120000</v>
      </c>
      <c r="G18" s="204">
        <v>65800</v>
      </c>
      <c r="H18" s="204">
        <v>0</v>
      </c>
      <c r="I18" s="186">
        <v>0</v>
      </c>
      <c r="J18" s="186">
        <v>0</v>
      </c>
      <c r="K18" s="186">
        <v>240000</v>
      </c>
      <c r="L18" s="204">
        <v>0</v>
      </c>
      <c r="M18" s="204">
        <v>3427580</v>
      </c>
      <c r="N18" s="204">
        <v>0</v>
      </c>
      <c r="O18" s="204">
        <f t="shared" si="0"/>
        <v>3905380</v>
      </c>
    </row>
    <row r="19" spans="1:15" ht="18" customHeight="1" x14ac:dyDescent="0.25">
      <c r="A19" s="359">
        <v>14</v>
      </c>
      <c r="B19" s="147" t="s">
        <v>254</v>
      </c>
      <c r="C19" s="401">
        <v>0</v>
      </c>
      <c r="D19" s="204">
        <v>0</v>
      </c>
      <c r="E19" s="204">
        <v>52000</v>
      </c>
      <c r="F19" s="204">
        <v>120000</v>
      </c>
      <c r="G19" s="204">
        <v>65800</v>
      </c>
      <c r="H19" s="204">
        <v>0</v>
      </c>
      <c r="I19" s="186">
        <v>0</v>
      </c>
      <c r="J19" s="186">
        <v>0</v>
      </c>
      <c r="K19" s="186">
        <v>240000</v>
      </c>
      <c r="L19" s="204">
        <v>0</v>
      </c>
      <c r="M19" s="204">
        <v>3427580</v>
      </c>
      <c r="N19" s="204">
        <v>0</v>
      </c>
      <c r="O19" s="204">
        <f t="shared" si="0"/>
        <v>3905380</v>
      </c>
    </row>
    <row r="20" spans="1:15" ht="18" customHeight="1" x14ac:dyDescent="0.25">
      <c r="A20" s="359">
        <v>15</v>
      </c>
      <c r="B20" s="147" t="s">
        <v>255</v>
      </c>
      <c r="C20" s="401">
        <v>0</v>
      </c>
      <c r="D20" s="204">
        <v>0</v>
      </c>
      <c r="E20" s="204">
        <v>52000</v>
      </c>
      <c r="F20" s="204">
        <v>120000</v>
      </c>
      <c r="G20" s="204">
        <v>65800</v>
      </c>
      <c r="H20" s="204">
        <v>0</v>
      </c>
      <c r="I20" s="186">
        <v>0</v>
      </c>
      <c r="J20" s="186">
        <v>0</v>
      </c>
      <c r="K20" s="186">
        <v>240000</v>
      </c>
      <c r="L20" s="204">
        <v>0</v>
      </c>
      <c r="M20" s="204">
        <v>3427580</v>
      </c>
      <c r="N20" s="204">
        <v>0</v>
      </c>
      <c r="O20" s="204">
        <f t="shared" si="0"/>
        <v>3905380</v>
      </c>
    </row>
    <row r="21" spans="1:15" ht="18" customHeight="1" x14ac:dyDescent="0.25">
      <c r="A21" s="359">
        <v>16</v>
      </c>
      <c r="B21" s="147" t="s">
        <v>256</v>
      </c>
      <c r="C21" s="401">
        <v>12082560</v>
      </c>
      <c r="D21" s="204">
        <v>0</v>
      </c>
      <c r="E21" s="204">
        <v>52000</v>
      </c>
      <c r="F21" s="204">
        <v>120000</v>
      </c>
      <c r="G21" s="204">
        <v>65800</v>
      </c>
      <c r="H21" s="204">
        <v>0</v>
      </c>
      <c r="I21" s="186">
        <v>0</v>
      </c>
      <c r="J21" s="186">
        <v>0</v>
      </c>
      <c r="K21" s="186">
        <v>240000</v>
      </c>
      <c r="L21" s="204">
        <v>0</v>
      </c>
      <c r="M21" s="204">
        <v>3427580</v>
      </c>
      <c r="N21" s="204">
        <v>0</v>
      </c>
      <c r="O21" s="204">
        <f t="shared" si="0"/>
        <v>15987940</v>
      </c>
    </row>
    <row r="22" spans="1:15" ht="18" customHeight="1" x14ac:dyDescent="0.25">
      <c r="A22" s="359">
        <v>17</v>
      </c>
      <c r="B22" s="147" t="s">
        <v>257</v>
      </c>
      <c r="C22" s="401">
        <v>12082560</v>
      </c>
      <c r="D22" s="204">
        <v>0</v>
      </c>
      <c r="E22" s="204">
        <v>52000</v>
      </c>
      <c r="F22" s="204">
        <v>120000</v>
      </c>
      <c r="G22" s="204">
        <v>65800</v>
      </c>
      <c r="H22" s="204">
        <v>0</v>
      </c>
      <c r="I22" s="186">
        <v>0</v>
      </c>
      <c r="J22" s="186">
        <v>0</v>
      </c>
      <c r="K22" s="186">
        <v>240000</v>
      </c>
      <c r="L22" s="204">
        <v>0</v>
      </c>
      <c r="M22" s="204">
        <v>3427580</v>
      </c>
      <c r="N22" s="204">
        <v>0</v>
      </c>
      <c r="O22" s="204">
        <f t="shared" si="0"/>
        <v>15987940</v>
      </c>
    </row>
    <row r="23" spans="1:15" ht="18" customHeight="1" x14ac:dyDescent="0.25">
      <c r="A23" s="359">
        <v>18</v>
      </c>
      <c r="B23" s="147" t="s">
        <v>258</v>
      </c>
      <c r="C23" s="401">
        <v>0</v>
      </c>
      <c r="D23" s="204">
        <v>0</v>
      </c>
      <c r="E23" s="204">
        <v>52000</v>
      </c>
      <c r="F23" s="204">
        <v>120000</v>
      </c>
      <c r="G23" s="204">
        <v>65800</v>
      </c>
      <c r="H23" s="204">
        <v>0</v>
      </c>
      <c r="I23" s="186">
        <v>0</v>
      </c>
      <c r="J23" s="186">
        <v>0</v>
      </c>
      <c r="K23" s="186">
        <v>240000</v>
      </c>
      <c r="L23" s="204">
        <v>0</v>
      </c>
      <c r="M23" s="204">
        <v>3427580</v>
      </c>
      <c r="N23" s="204">
        <v>0</v>
      </c>
      <c r="O23" s="204">
        <f t="shared" si="0"/>
        <v>3905380</v>
      </c>
    </row>
    <row r="24" spans="1:15" ht="18" customHeight="1" x14ac:dyDescent="0.25">
      <c r="A24" s="359">
        <v>19</v>
      </c>
      <c r="B24" s="147" t="s">
        <v>259</v>
      </c>
      <c r="C24" s="401">
        <v>17655400</v>
      </c>
      <c r="D24" s="204">
        <v>650000</v>
      </c>
      <c r="E24" s="204">
        <v>52000</v>
      </c>
      <c r="F24" s="204">
        <v>240000</v>
      </c>
      <c r="G24" s="204">
        <v>131600</v>
      </c>
      <c r="H24" s="204">
        <v>5648272</v>
      </c>
      <c r="I24" s="186">
        <v>877500</v>
      </c>
      <c r="J24" s="186">
        <v>3600000</v>
      </c>
      <c r="K24" s="186">
        <v>1280000</v>
      </c>
      <c r="L24" s="204">
        <v>16900000</v>
      </c>
      <c r="M24" s="204">
        <v>6855160</v>
      </c>
      <c r="N24" s="204">
        <v>812500</v>
      </c>
      <c r="O24" s="204">
        <f t="shared" si="0"/>
        <v>54702432</v>
      </c>
    </row>
    <row r="25" spans="1:15" ht="18" customHeight="1" x14ac:dyDescent="0.25">
      <c r="A25" s="359">
        <v>20</v>
      </c>
      <c r="B25" s="147" t="s">
        <v>260</v>
      </c>
      <c r="C25" s="401">
        <v>0</v>
      </c>
      <c r="D25" s="204">
        <v>0</v>
      </c>
      <c r="E25" s="204">
        <v>52000</v>
      </c>
      <c r="F25" s="204">
        <v>120000</v>
      </c>
      <c r="G25" s="204">
        <v>65800</v>
      </c>
      <c r="H25" s="204">
        <v>0</v>
      </c>
      <c r="I25" s="186">
        <v>0</v>
      </c>
      <c r="J25" s="186">
        <v>0</v>
      </c>
      <c r="K25" s="186">
        <v>240000</v>
      </c>
      <c r="L25" s="204">
        <v>0</v>
      </c>
      <c r="M25" s="204">
        <v>3427580</v>
      </c>
      <c r="N25" s="204">
        <v>0</v>
      </c>
      <c r="O25" s="204">
        <f t="shared" si="0"/>
        <v>3905380</v>
      </c>
    </row>
    <row r="26" spans="1:15" ht="18" customHeight="1" x14ac:dyDescent="0.25">
      <c r="A26" s="359">
        <v>21</v>
      </c>
      <c r="B26" s="147" t="s">
        <v>261</v>
      </c>
      <c r="C26" s="401">
        <v>13500000</v>
      </c>
      <c r="D26" s="204">
        <v>0</v>
      </c>
      <c r="E26" s="204">
        <v>52000</v>
      </c>
      <c r="F26" s="204">
        <v>120000</v>
      </c>
      <c r="G26" s="204">
        <v>65800</v>
      </c>
      <c r="H26" s="204">
        <v>0</v>
      </c>
      <c r="I26" s="186">
        <v>0</v>
      </c>
      <c r="J26" s="186">
        <v>0</v>
      </c>
      <c r="K26" s="186">
        <v>240000</v>
      </c>
      <c r="L26" s="204">
        <v>0</v>
      </c>
      <c r="M26" s="204">
        <v>3427580</v>
      </c>
      <c r="N26" s="204">
        <v>0</v>
      </c>
      <c r="O26" s="204">
        <f t="shared" si="0"/>
        <v>17405380</v>
      </c>
    </row>
    <row r="27" spans="1:15" ht="18" customHeight="1" x14ac:dyDescent="0.25">
      <c r="A27" s="359">
        <v>22</v>
      </c>
      <c r="B27" s="147" t="s">
        <v>262</v>
      </c>
      <c r="C27" s="401">
        <v>12082560</v>
      </c>
      <c r="D27" s="204">
        <v>0</v>
      </c>
      <c r="E27" s="204">
        <v>52000</v>
      </c>
      <c r="F27" s="204">
        <v>120000</v>
      </c>
      <c r="G27" s="204">
        <v>65800</v>
      </c>
      <c r="H27" s="204">
        <v>0</v>
      </c>
      <c r="I27" s="186">
        <v>0</v>
      </c>
      <c r="J27" s="186">
        <v>0</v>
      </c>
      <c r="K27" s="186">
        <v>240000</v>
      </c>
      <c r="L27" s="204">
        <v>0</v>
      </c>
      <c r="M27" s="204">
        <v>3427580</v>
      </c>
      <c r="N27" s="204">
        <v>0</v>
      </c>
      <c r="O27" s="204">
        <f t="shared" si="0"/>
        <v>15987940</v>
      </c>
    </row>
    <row r="28" spans="1:15" ht="18" customHeight="1" x14ac:dyDescent="0.25">
      <c r="A28" s="359">
        <v>23</v>
      </c>
      <c r="B28" s="147" t="s">
        <v>263</v>
      </c>
      <c r="C28" s="401">
        <v>12082560</v>
      </c>
      <c r="D28" s="204">
        <v>0</v>
      </c>
      <c r="E28" s="204">
        <v>52000</v>
      </c>
      <c r="F28" s="204">
        <v>120000</v>
      </c>
      <c r="G28" s="204">
        <v>65800</v>
      </c>
      <c r="H28" s="204">
        <v>0</v>
      </c>
      <c r="I28" s="186">
        <v>0</v>
      </c>
      <c r="J28" s="186">
        <v>0</v>
      </c>
      <c r="K28" s="186">
        <v>240000</v>
      </c>
      <c r="L28" s="204">
        <v>0</v>
      </c>
      <c r="M28" s="204">
        <v>3427580</v>
      </c>
      <c r="N28" s="204">
        <v>0</v>
      </c>
      <c r="O28" s="204">
        <f t="shared" si="0"/>
        <v>15987940</v>
      </c>
    </row>
    <row r="29" spans="1:15" ht="18" customHeight="1" x14ac:dyDescent="0.25">
      <c r="A29" s="365">
        <v>24</v>
      </c>
      <c r="B29" s="412" t="s">
        <v>264</v>
      </c>
      <c r="C29" s="417">
        <v>8795200</v>
      </c>
      <c r="D29" s="413">
        <v>0</v>
      </c>
      <c r="E29" s="413">
        <v>52000</v>
      </c>
      <c r="F29" s="413">
        <v>120000</v>
      </c>
      <c r="G29" s="413">
        <v>65800</v>
      </c>
      <c r="H29" s="413">
        <v>0</v>
      </c>
      <c r="I29" s="415">
        <v>0</v>
      </c>
      <c r="J29" s="415">
        <v>0</v>
      </c>
      <c r="K29" s="415">
        <v>240000</v>
      </c>
      <c r="L29" s="413">
        <v>0</v>
      </c>
      <c r="M29" s="413">
        <v>3427580</v>
      </c>
      <c r="N29" s="413">
        <v>0</v>
      </c>
      <c r="O29" s="413">
        <f t="shared" si="0"/>
        <v>12700580</v>
      </c>
    </row>
    <row r="30" spans="1:15" s="404" customFormat="1" ht="18" customHeight="1" x14ac:dyDescent="0.25">
      <c r="A30" s="360"/>
      <c r="B30" s="418"/>
      <c r="C30" s="403"/>
      <c r="D30" s="403"/>
      <c r="E30" s="403"/>
      <c r="F30" s="403"/>
      <c r="G30" s="403"/>
      <c r="H30" s="403"/>
      <c r="I30" s="406"/>
      <c r="J30" s="406"/>
      <c r="K30" s="406"/>
      <c r="L30" s="403"/>
      <c r="M30" s="403"/>
      <c r="N30" s="403"/>
      <c r="O30" s="403"/>
    </row>
    <row r="31" spans="1:15" s="426" customFormat="1" ht="18" customHeight="1" x14ac:dyDescent="0.25">
      <c r="A31" s="419"/>
      <c r="B31" s="420"/>
      <c r="C31" s="344"/>
      <c r="D31" s="344"/>
      <c r="E31" s="344"/>
      <c r="F31" s="344"/>
      <c r="G31" s="344"/>
      <c r="H31" s="344"/>
      <c r="I31" s="421"/>
      <c r="J31" s="421"/>
      <c r="K31" s="421"/>
      <c r="L31" s="344"/>
      <c r="M31" s="344"/>
      <c r="N31" s="344"/>
      <c r="O31" s="344"/>
    </row>
    <row r="32" spans="1:15" ht="18" customHeight="1" x14ac:dyDescent="0.25">
      <c r="A32" s="362">
        <v>25</v>
      </c>
      <c r="B32" s="422" t="s">
        <v>265</v>
      </c>
      <c r="C32" s="423">
        <v>15200000</v>
      </c>
      <c r="D32" s="424">
        <v>650000</v>
      </c>
      <c r="E32" s="424">
        <v>52000</v>
      </c>
      <c r="F32" s="424">
        <v>240000</v>
      </c>
      <c r="G32" s="424">
        <v>131600</v>
      </c>
      <c r="H32" s="424">
        <v>5648272</v>
      </c>
      <c r="I32" s="425">
        <v>7020000</v>
      </c>
      <c r="J32" s="425">
        <v>3600000</v>
      </c>
      <c r="K32" s="425">
        <v>1280000</v>
      </c>
      <c r="L32" s="424">
        <v>27462500</v>
      </c>
      <c r="M32" s="424">
        <v>5141370</v>
      </c>
      <c r="N32" s="424">
        <v>812500</v>
      </c>
      <c r="O32" s="424">
        <f t="shared" si="0"/>
        <v>67238242</v>
      </c>
    </row>
    <row r="33" spans="1:15" ht="18" customHeight="1" x14ac:dyDescent="0.25">
      <c r="A33" s="359">
        <v>26</v>
      </c>
      <c r="B33" s="147" t="s">
        <v>266</v>
      </c>
      <c r="C33" s="401">
        <v>0</v>
      </c>
      <c r="D33" s="204">
        <v>0</v>
      </c>
      <c r="E33" s="204">
        <v>52000</v>
      </c>
      <c r="F33" s="204">
        <v>120000</v>
      </c>
      <c r="G33" s="204">
        <v>65800</v>
      </c>
      <c r="H33" s="204">
        <v>0</v>
      </c>
      <c r="I33" s="186">
        <v>0</v>
      </c>
      <c r="J33" s="186">
        <v>0</v>
      </c>
      <c r="K33" s="186">
        <v>240000</v>
      </c>
      <c r="L33" s="204">
        <v>0</v>
      </c>
      <c r="M33" s="204">
        <v>3427580</v>
      </c>
      <c r="N33" s="204">
        <v>0</v>
      </c>
      <c r="O33" s="204">
        <f t="shared" si="0"/>
        <v>3905380</v>
      </c>
    </row>
    <row r="34" spans="1:15" ht="18" customHeight="1" x14ac:dyDescent="0.25">
      <c r="A34" s="359">
        <v>27</v>
      </c>
      <c r="B34" s="147" t="s">
        <v>267</v>
      </c>
      <c r="C34" s="401">
        <v>12082560</v>
      </c>
      <c r="D34" s="204">
        <v>0</v>
      </c>
      <c r="E34" s="204">
        <v>52000</v>
      </c>
      <c r="F34" s="204">
        <v>120000</v>
      </c>
      <c r="G34" s="204">
        <v>65800</v>
      </c>
      <c r="H34" s="204">
        <v>0</v>
      </c>
      <c r="I34" s="186">
        <v>0</v>
      </c>
      <c r="J34" s="186">
        <v>0</v>
      </c>
      <c r="K34" s="186">
        <v>240000</v>
      </c>
      <c r="L34" s="204">
        <v>0</v>
      </c>
      <c r="M34" s="204">
        <v>3427580</v>
      </c>
      <c r="N34" s="204">
        <v>0</v>
      </c>
      <c r="O34" s="204">
        <f t="shared" si="0"/>
        <v>15987940</v>
      </c>
    </row>
    <row r="35" spans="1:15" ht="18" customHeight="1" x14ac:dyDescent="0.25">
      <c r="A35" s="359">
        <v>28</v>
      </c>
      <c r="B35" s="147" t="s">
        <v>268</v>
      </c>
      <c r="C35" s="401">
        <v>13500000</v>
      </c>
      <c r="D35" s="204">
        <v>0</v>
      </c>
      <c r="E35" s="204">
        <v>52000</v>
      </c>
      <c r="F35" s="204">
        <v>120000</v>
      </c>
      <c r="G35" s="204">
        <v>65800</v>
      </c>
      <c r="H35" s="204">
        <v>0</v>
      </c>
      <c r="I35" s="186">
        <v>0</v>
      </c>
      <c r="J35" s="186">
        <v>0</v>
      </c>
      <c r="K35" s="186">
        <v>240000</v>
      </c>
      <c r="L35" s="204">
        <v>0</v>
      </c>
      <c r="M35" s="204">
        <v>3427580</v>
      </c>
      <c r="N35" s="204">
        <v>0</v>
      </c>
      <c r="O35" s="204">
        <f t="shared" si="0"/>
        <v>17405380</v>
      </c>
    </row>
    <row r="36" spans="1:15" ht="18" customHeight="1" x14ac:dyDescent="0.25">
      <c r="A36" s="359">
        <v>29</v>
      </c>
      <c r="B36" s="147" t="s">
        <v>269</v>
      </c>
      <c r="C36" s="401">
        <v>12082560</v>
      </c>
      <c r="D36" s="204">
        <v>0</v>
      </c>
      <c r="E36" s="204">
        <v>52000</v>
      </c>
      <c r="F36" s="204">
        <v>120000</v>
      </c>
      <c r="G36" s="204">
        <v>65800</v>
      </c>
      <c r="H36" s="204">
        <v>0</v>
      </c>
      <c r="I36" s="186">
        <v>0</v>
      </c>
      <c r="J36" s="186">
        <v>0</v>
      </c>
      <c r="K36" s="186">
        <v>240000</v>
      </c>
      <c r="L36" s="204">
        <v>0</v>
      </c>
      <c r="M36" s="204">
        <v>3427580</v>
      </c>
      <c r="N36" s="204">
        <v>0</v>
      </c>
      <c r="O36" s="204">
        <f t="shared" si="0"/>
        <v>15987940</v>
      </c>
    </row>
    <row r="37" spans="1:15" ht="18" customHeight="1" x14ac:dyDescent="0.25">
      <c r="A37" s="359">
        <v>30</v>
      </c>
      <c r="B37" s="147" t="s">
        <v>270</v>
      </c>
      <c r="C37" s="401">
        <v>0</v>
      </c>
      <c r="D37" s="204">
        <v>0</v>
      </c>
      <c r="E37" s="204">
        <v>52000</v>
      </c>
      <c r="F37" s="204">
        <v>120000</v>
      </c>
      <c r="G37" s="204">
        <v>65800</v>
      </c>
      <c r="H37" s="204">
        <v>0</v>
      </c>
      <c r="I37" s="186">
        <v>0</v>
      </c>
      <c r="J37" s="186">
        <v>0</v>
      </c>
      <c r="K37" s="186">
        <v>240000</v>
      </c>
      <c r="L37" s="204">
        <v>0</v>
      </c>
      <c r="M37" s="204">
        <v>3427580</v>
      </c>
      <c r="N37" s="204">
        <v>0</v>
      </c>
      <c r="O37" s="204">
        <f t="shared" si="0"/>
        <v>3905380</v>
      </c>
    </row>
    <row r="38" spans="1:15" ht="18" customHeight="1" x14ac:dyDescent="0.25">
      <c r="A38" s="359">
        <v>31</v>
      </c>
      <c r="B38" s="147" t="s">
        <v>271</v>
      </c>
      <c r="C38" s="401">
        <v>13500000</v>
      </c>
      <c r="D38" s="204">
        <v>0</v>
      </c>
      <c r="E38" s="204">
        <v>52000</v>
      </c>
      <c r="F38" s="204">
        <v>120000</v>
      </c>
      <c r="G38" s="204">
        <v>65800</v>
      </c>
      <c r="H38" s="204">
        <v>0</v>
      </c>
      <c r="I38" s="186">
        <v>0</v>
      </c>
      <c r="J38" s="186">
        <v>0</v>
      </c>
      <c r="K38" s="186">
        <v>240000</v>
      </c>
      <c r="L38" s="204">
        <v>0</v>
      </c>
      <c r="M38" s="204">
        <v>3427580</v>
      </c>
      <c r="N38" s="204">
        <v>0</v>
      </c>
      <c r="O38" s="204">
        <f t="shared" si="0"/>
        <v>17405380</v>
      </c>
    </row>
    <row r="39" spans="1:15" ht="18" customHeight="1" x14ac:dyDescent="0.25">
      <c r="A39" s="359">
        <v>32</v>
      </c>
      <c r="B39" s="147" t="s">
        <v>272</v>
      </c>
      <c r="C39" s="401">
        <v>0</v>
      </c>
      <c r="D39" s="204">
        <v>0</v>
      </c>
      <c r="E39" s="204">
        <v>52000</v>
      </c>
      <c r="F39" s="204">
        <v>120000</v>
      </c>
      <c r="G39" s="204">
        <v>65800</v>
      </c>
      <c r="H39" s="204">
        <v>0</v>
      </c>
      <c r="I39" s="186">
        <v>0</v>
      </c>
      <c r="J39" s="186">
        <v>0</v>
      </c>
      <c r="K39" s="186">
        <v>160000</v>
      </c>
      <c r="L39" s="204">
        <v>0</v>
      </c>
      <c r="M39" s="204">
        <v>3427580</v>
      </c>
      <c r="N39" s="204">
        <v>0</v>
      </c>
      <c r="O39" s="204">
        <f t="shared" si="0"/>
        <v>3825380</v>
      </c>
    </row>
    <row r="40" spans="1:15" ht="18" customHeight="1" x14ac:dyDescent="0.25">
      <c r="A40" s="359">
        <v>33</v>
      </c>
      <c r="B40" s="147" t="s">
        <v>273</v>
      </c>
      <c r="C40" s="401">
        <v>0</v>
      </c>
      <c r="D40" s="204">
        <v>0</v>
      </c>
      <c r="E40" s="204">
        <v>52000</v>
      </c>
      <c r="F40" s="204">
        <v>120000</v>
      </c>
      <c r="G40" s="204">
        <v>65800</v>
      </c>
      <c r="H40" s="204">
        <v>0</v>
      </c>
      <c r="I40" s="186">
        <v>0</v>
      </c>
      <c r="J40" s="186">
        <v>0</v>
      </c>
      <c r="K40" s="186">
        <v>240000</v>
      </c>
      <c r="L40" s="204">
        <v>0</v>
      </c>
      <c r="M40" s="204">
        <v>3427580</v>
      </c>
      <c r="N40" s="204">
        <v>0</v>
      </c>
      <c r="O40" s="204">
        <f t="shared" si="0"/>
        <v>3905380</v>
      </c>
    </row>
    <row r="41" spans="1:15" ht="18" customHeight="1" x14ac:dyDescent="0.25">
      <c r="A41" s="359">
        <v>34</v>
      </c>
      <c r="B41" s="147" t="s">
        <v>274</v>
      </c>
      <c r="C41" s="401">
        <v>0</v>
      </c>
      <c r="D41" s="204">
        <v>0</v>
      </c>
      <c r="E41" s="204">
        <v>52000</v>
      </c>
      <c r="F41" s="204">
        <v>120000</v>
      </c>
      <c r="G41" s="204">
        <v>65800</v>
      </c>
      <c r="H41" s="204">
        <v>0</v>
      </c>
      <c r="I41" s="186">
        <v>0</v>
      </c>
      <c r="J41" s="186">
        <v>0</v>
      </c>
      <c r="K41" s="186">
        <v>160000</v>
      </c>
      <c r="L41" s="204">
        <v>0</v>
      </c>
      <c r="M41" s="204">
        <v>3427580</v>
      </c>
      <c r="N41" s="204">
        <v>0</v>
      </c>
      <c r="O41" s="204">
        <f t="shared" si="0"/>
        <v>3825380</v>
      </c>
    </row>
    <row r="42" spans="1:15" ht="18" customHeight="1" x14ac:dyDescent="0.25">
      <c r="A42" s="359">
        <v>35</v>
      </c>
      <c r="B42" s="147" t="s">
        <v>275</v>
      </c>
      <c r="C42" s="401">
        <v>12082560</v>
      </c>
      <c r="D42" s="204">
        <v>0</v>
      </c>
      <c r="E42" s="204">
        <v>52000</v>
      </c>
      <c r="F42" s="204">
        <v>120000</v>
      </c>
      <c r="G42" s="204">
        <v>65800</v>
      </c>
      <c r="H42" s="204">
        <v>0</v>
      </c>
      <c r="I42" s="186">
        <v>0</v>
      </c>
      <c r="J42" s="186">
        <v>0</v>
      </c>
      <c r="K42" s="186">
        <v>240000</v>
      </c>
      <c r="L42" s="204">
        <v>0</v>
      </c>
      <c r="M42" s="204">
        <v>3427580</v>
      </c>
      <c r="N42" s="204">
        <v>0</v>
      </c>
      <c r="O42" s="204">
        <f t="shared" si="0"/>
        <v>15987940</v>
      </c>
    </row>
    <row r="43" spans="1:15" ht="18" customHeight="1" x14ac:dyDescent="0.25">
      <c r="A43" s="359">
        <v>36</v>
      </c>
      <c r="B43" s="147" t="s">
        <v>296</v>
      </c>
      <c r="C43" s="401">
        <v>17655400</v>
      </c>
      <c r="D43" s="204">
        <v>650000</v>
      </c>
      <c r="E43" s="204">
        <v>52000</v>
      </c>
      <c r="F43" s="204">
        <v>240000</v>
      </c>
      <c r="G43" s="204">
        <v>131600</v>
      </c>
      <c r="H43" s="204">
        <v>5648272</v>
      </c>
      <c r="I43" s="186">
        <v>5791500</v>
      </c>
      <c r="J43" s="186">
        <v>3600000</v>
      </c>
      <c r="K43" s="186">
        <v>1280000</v>
      </c>
      <c r="L43" s="204">
        <v>16900000</v>
      </c>
      <c r="M43" s="204">
        <v>8568950</v>
      </c>
      <c r="N43" s="204">
        <v>812500</v>
      </c>
      <c r="O43" s="204">
        <f t="shared" si="0"/>
        <v>61330222</v>
      </c>
    </row>
    <row r="44" spans="1:15" ht="18" customHeight="1" x14ac:dyDescent="0.25">
      <c r="A44" s="359">
        <v>37</v>
      </c>
      <c r="B44" s="147" t="s">
        <v>277</v>
      </c>
      <c r="C44" s="401">
        <v>17655400</v>
      </c>
      <c r="D44" s="204">
        <v>650000</v>
      </c>
      <c r="E44" s="204">
        <v>52000</v>
      </c>
      <c r="F44" s="204">
        <v>240000</v>
      </c>
      <c r="G44" s="204">
        <v>131600</v>
      </c>
      <c r="H44" s="204">
        <v>1412068</v>
      </c>
      <c r="I44" s="186">
        <v>877500</v>
      </c>
      <c r="J44" s="186">
        <v>900000</v>
      </c>
      <c r="K44" s="186">
        <v>320000</v>
      </c>
      <c r="L44" s="204">
        <v>4225000</v>
      </c>
      <c r="M44" s="204">
        <v>8568950</v>
      </c>
      <c r="N44" s="204">
        <v>812500</v>
      </c>
      <c r="O44" s="204">
        <f t="shared" si="0"/>
        <v>35845018</v>
      </c>
    </row>
    <row r="45" spans="1:15" ht="18" customHeight="1" x14ac:dyDescent="0.25">
      <c r="A45" s="359">
        <v>38</v>
      </c>
      <c r="B45" s="147" t="s">
        <v>278</v>
      </c>
      <c r="C45" s="401">
        <v>0</v>
      </c>
      <c r="D45" s="204">
        <v>650000</v>
      </c>
      <c r="E45" s="204">
        <v>52000</v>
      </c>
      <c r="F45" s="204">
        <v>240000</v>
      </c>
      <c r="G45" s="204">
        <v>131600</v>
      </c>
      <c r="H45" s="204">
        <v>5648272</v>
      </c>
      <c r="I45" s="186">
        <v>877500</v>
      </c>
      <c r="J45" s="186">
        <v>3600000</v>
      </c>
      <c r="K45" s="186">
        <v>1280000</v>
      </c>
      <c r="L45" s="204">
        <v>16900000</v>
      </c>
      <c r="M45" s="204">
        <v>8568950</v>
      </c>
      <c r="N45" s="204">
        <v>812500</v>
      </c>
      <c r="O45" s="204">
        <f t="shared" si="0"/>
        <v>38760822</v>
      </c>
    </row>
    <row r="46" spans="1:15" ht="18" customHeight="1" x14ac:dyDescent="0.25">
      <c r="A46" s="359">
        <v>39</v>
      </c>
      <c r="B46" s="147" t="s">
        <v>279</v>
      </c>
      <c r="C46" s="401">
        <v>0</v>
      </c>
      <c r="D46" s="204">
        <v>0</v>
      </c>
      <c r="E46" s="204">
        <v>52000</v>
      </c>
      <c r="F46" s="204">
        <v>120000</v>
      </c>
      <c r="G46" s="204">
        <v>65800</v>
      </c>
      <c r="H46" s="204">
        <v>0</v>
      </c>
      <c r="I46" s="186">
        <v>0</v>
      </c>
      <c r="J46" s="186">
        <v>0</v>
      </c>
      <c r="K46" s="186">
        <v>240000</v>
      </c>
      <c r="L46" s="204">
        <v>0</v>
      </c>
      <c r="M46" s="204">
        <v>1713790</v>
      </c>
      <c r="N46" s="204">
        <v>0</v>
      </c>
      <c r="O46" s="204">
        <f t="shared" si="0"/>
        <v>2191590</v>
      </c>
    </row>
    <row r="47" spans="1:15" ht="18" customHeight="1" x14ac:dyDescent="0.25">
      <c r="A47" s="359">
        <v>40</v>
      </c>
      <c r="B47" s="147" t="s">
        <v>1851</v>
      </c>
      <c r="C47" s="401">
        <v>0</v>
      </c>
      <c r="D47" s="204">
        <v>0</v>
      </c>
      <c r="E47" s="204">
        <v>52000</v>
      </c>
      <c r="F47" s="204"/>
      <c r="G47" s="204">
        <v>0</v>
      </c>
      <c r="H47" s="204">
        <v>0</v>
      </c>
      <c r="I47" s="186">
        <v>0</v>
      </c>
      <c r="J47" s="186">
        <v>0</v>
      </c>
      <c r="K47" s="186"/>
      <c r="L47" s="204">
        <v>0</v>
      </c>
      <c r="M47" s="204">
        <v>0</v>
      </c>
      <c r="N47" s="204">
        <v>0</v>
      </c>
      <c r="O47" s="204">
        <f t="shared" si="0"/>
        <v>52000</v>
      </c>
    </row>
    <row r="48" spans="1:15" ht="18" customHeight="1" x14ac:dyDescent="0.25">
      <c r="A48" s="891"/>
      <c r="B48" s="205" t="s">
        <v>297</v>
      </c>
      <c r="C48" s="196">
        <f>SUM(C6:C47)</f>
        <v>265569560</v>
      </c>
      <c r="D48" s="196">
        <f t="shared" ref="D48:L48" si="1">SUM(D6:D47)</f>
        <v>3900000</v>
      </c>
      <c r="E48" s="196">
        <f t="shared" si="1"/>
        <v>2080000</v>
      </c>
      <c r="F48" s="196">
        <f t="shared" si="1"/>
        <v>5400000</v>
      </c>
      <c r="G48" s="196">
        <f t="shared" si="1"/>
        <v>2961000</v>
      </c>
      <c r="H48" s="196">
        <f t="shared" si="1"/>
        <v>29653428</v>
      </c>
      <c r="I48" s="196">
        <f t="shared" si="1"/>
        <v>21235500</v>
      </c>
      <c r="J48" s="196">
        <f t="shared" si="1"/>
        <v>18900000</v>
      </c>
      <c r="K48" s="196">
        <f t="shared" si="1"/>
        <v>14480000</v>
      </c>
      <c r="L48" s="196">
        <f t="shared" si="1"/>
        <v>99287500</v>
      </c>
      <c r="M48" s="196">
        <f t="shared" ref="M48" si="2">SUM(M6:M47)</f>
        <v>155954890</v>
      </c>
      <c r="N48" s="196">
        <f t="shared" ref="N48" si="3">SUM(N6:N47)</f>
        <v>4875000</v>
      </c>
      <c r="O48" s="196">
        <f t="shared" si="0"/>
        <v>624296878</v>
      </c>
    </row>
    <row r="49" spans="1:15" ht="18" customHeight="1" x14ac:dyDescent="0.25">
      <c r="A49" s="891"/>
      <c r="B49" s="207" t="s">
        <v>282</v>
      </c>
      <c r="C49" s="196">
        <f>C48*0.16</f>
        <v>42491129.600000001</v>
      </c>
      <c r="D49" s="196">
        <f t="shared" ref="D49:L49" si="4">D48*0.16</f>
        <v>624000</v>
      </c>
      <c r="E49" s="196">
        <f t="shared" si="4"/>
        <v>332800</v>
      </c>
      <c r="F49" s="196">
        <f t="shared" si="4"/>
        <v>864000</v>
      </c>
      <c r="G49" s="196">
        <f t="shared" si="4"/>
        <v>473760</v>
      </c>
      <c r="H49" s="196">
        <f t="shared" si="4"/>
        <v>4744548.4800000004</v>
      </c>
      <c r="I49" s="196">
        <f t="shared" si="4"/>
        <v>3397680</v>
      </c>
      <c r="J49" s="196">
        <f t="shared" si="4"/>
        <v>3024000</v>
      </c>
      <c r="K49" s="196">
        <f t="shared" si="4"/>
        <v>2316800</v>
      </c>
      <c r="L49" s="196">
        <f t="shared" si="4"/>
        <v>15886000</v>
      </c>
      <c r="M49" s="196">
        <f t="shared" ref="M49" si="5">M48*0.16</f>
        <v>24952782.400000002</v>
      </c>
      <c r="N49" s="196">
        <f t="shared" ref="N49" si="6">N48*0.16</f>
        <v>780000</v>
      </c>
      <c r="O49" s="196">
        <f t="shared" si="0"/>
        <v>99887500.480000004</v>
      </c>
    </row>
    <row r="50" spans="1:15" ht="18" customHeight="1" x14ac:dyDescent="0.25">
      <c r="A50" s="892"/>
      <c r="B50" s="207" t="s">
        <v>298</v>
      </c>
      <c r="C50" s="196">
        <f>SUM(C48:C49)</f>
        <v>308060689.60000002</v>
      </c>
      <c r="D50" s="196">
        <f t="shared" ref="D50:L50" si="7">SUM(D48:D49)</f>
        <v>4524000</v>
      </c>
      <c r="E50" s="196">
        <f t="shared" si="7"/>
        <v>2412800</v>
      </c>
      <c r="F50" s="196">
        <f t="shared" si="7"/>
        <v>6264000</v>
      </c>
      <c r="G50" s="196">
        <f t="shared" si="7"/>
        <v>3434760</v>
      </c>
      <c r="H50" s="196">
        <f t="shared" si="7"/>
        <v>34397976.480000004</v>
      </c>
      <c r="I50" s="196">
        <f t="shared" si="7"/>
        <v>24633180</v>
      </c>
      <c r="J50" s="196">
        <f t="shared" si="7"/>
        <v>21924000</v>
      </c>
      <c r="K50" s="196">
        <f t="shared" si="7"/>
        <v>16796800</v>
      </c>
      <c r="L50" s="196">
        <f t="shared" si="7"/>
        <v>115173500</v>
      </c>
      <c r="M50" s="196">
        <f t="shared" ref="M50" si="8">SUM(M48:M49)</f>
        <v>180907672.40000001</v>
      </c>
      <c r="N50" s="196">
        <f t="shared" ref="N50" si="9">SUM(N48:N49)</f>
        <v>5655000</v>
      </c>
      <c r="O50" s="196">
        <f t="shared" si="0"/>
        <v>724184378.48000002</v>
      </c>
    </row>
  </sheetData>
  <mergeCells count="3">
    <mergeCell ref="A3:O3"/>
    <mergeCell ref="A4:O4"/>
    <mergeCell ref="A48:A50"/>
  </mergeCells>
  <printOptions horizontalCentered="1"/>
  <pageMargins left="1.0236220472440944" right="0.70866141732283472" top="0.74803149606299213" bottom="0.74803149606299213" header="0.31496062992125984" footer="0.31496062992125984"/>
  <pageSetup paperSize="5"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F0"/>
  </sheetPr>
  <dimension ref="A3:N51"/>
  <sheetViews>
    <sheetView zoomScale="90" zoomScaleNormal="90" workbookViewId="0">
      <selection activeCell="A3" sqref="A3:L51"/>
    </sheetView>
  </sheetViews>
  <sheetFormatPr baseColWidth="10" defaultRowHeight="15" x14ac:dyDescent="0.25"/>
  <cols>
    <col min="1" max="1" width="5.5703125" style="10" bestFit="1" customWidth="1"/>
    <col min="2" max="2" width="20.28515625" style="10" customWidth="1"/>
    <col min="3" max="10" width="13.7109375" style="10" customWidth="1"/>
    <col min="11" max="11" width="12.42578125" style="10" customWidth="1"/>
    <col min="12" max="12" width="16.28515625" style="10" customWidth="1"/>
    <col min="13" max="13" width="17.140625" style="10" customWidth="1"/>
    <col min="14" max="14" width="12.140625" style="10" bestFit="1" customWidth="1"/>
    <col min="15" max="16384" width="11.42578125" style="10"/>
  </cols>
  <sheetData>
    <row r="3" spans="1:12" x14ac:dyDescent="0.25">
      <c r="A3" s="890" t="s">
        <v>286</v>
      </c>
      <c r="B3" s="890"/>
      <c r="C3" s="890"/>
      <c r="D3" s="890"/>
      <c r="E3" s="890"/>
      <c r="F3" s="890"/>
      <c r="G3" s="890"/>
      <c r="H3" s="890"/>
      <c r="I3" s="890"/>
      <c r="J3" s="890"/>
      <c r="K3" s="890"/>
      <c r="L3" s="890"/>
    </row>
    <row r="4" spans="1:12" x14ac:dyDescent="0.25">
      <c r="A4" s="868" t="s">
        <v>1440</v>
      </c>
      <c r="B4" s="869"/>
      <c r="C4" s="869"/>
      <c r="D4" s="869"/>
      <c r="E4" s="869"/>
      <c r="F4" s="869"/>
      <c r="G4" s="869"/>
      <c r="H4" s="869"/>
      <c r="I4" s="869"/>
      <c r="J4" s="869"/>
      <c r="K4" s="869"/>
      <c r="L4" s="870"/>
    </row>
    <row r="5" spans="1:12" s="410" customFormat="1" ht="91.5" customHeight="1" x14ac:dyDescent="0.25">
      <c r="A5" s="408" t="s">
        <v>233</v>
      </c>
      <c r="B5" s="408" t="s">
        <v>287</v>
      </c>
      <c r="C5" s="405" t="s">
        <v>1496</v>
      </c>
      <c r="D5" s="409" t="s">
        <v>1603</v>
      </c>
      <c r="E5" s="409" t="s">
        <v>1489</v>
      </c>
      <c r="F5" s="405" t="s">
        <v>1606</v>
      </c>
      <c r="G5" s="405" t="s">
        <v>495</v>
      </c>
      <c r="H5" s="409" t="s">
        <v>475</v>
      </c>
      <c r="I5" s="409" t="s">
        <v>480</v>
      </c>
      <c r="J5" s="409" t="s">
        <v>1602</v>
      </c>
      <c r="K5" s="409" t="s">
        <v>1608</v>
      </c>
      <c r="L5" s="408" t="s">
        <v>295</v>
      </c>
    </row>
    <row r="6" spans="1:12" ht="18" customHeight="1" x14ac:dyDescent="0.25">
      <c r="A6" s="359">
        <v>1</v>
      </c>
      <c r="B6" s="147" t="s">
        <v>241</v>
      </c>
      <c r="C6" s="186">
        <v>228751.5048</v>
      </c>
      <c r="D6" s="186">
        <v>99645</v>
      </c>
      <c r="E6" s="407">
        <v>0</v>
      </c>
      <c r="F6" s="204">
        <v>6142</v>
      </c>
      <c r="G6" s="204">
        <v>100000</v>
      </c>
      <c r="H6" s="204"/>
      <c r="I6" s="204">
        <v>0</v>
      </c>
      <c r="J6" s="204">
        <v>118456</v>
      </c>
      <c r="K6" s="204">
        <v>0</v>
      </c>
      <c r="L6" s="204">
        <f>SUM(C6:K6)</f>
        <v>552994.5048</v>
      </c>
    </row>
    <row r="7" spans="1:12" ht="18" customHeight="1" x14ac:dyDescent="0.25">
      <c r="A7" s="359">
        <v>2</v>
      </c>
      <c r="B7" s="147" t="s">
        <v>242</v>
      </c>
      <c r="C7" s="186">
        <v>228751.5048</v>
      </c>
      <c r="D7" s="186">
        <v>531440</v>
      </c>
      <c r="E7" s="407">
        <v>281385</v>
      </c>
      <c r="F7" s="204">
        <v>36852</v>
      </c>
      <c r="G7" s="204">
        <v>400000</v>
      </c>
      <c r="H7" s="204">
        <v>27500000</v>
      </c>
      <c r="I7" s="204">
        <v>25500000</v>
      </c>
      <c r="J7" s="204">
        <v>236912</v>
      </c>
      <c r="K7" s="204">
        <v>2331940</v>
      </c>
      <c r="L7" s="204">
        <f t="shared" ref="L7:L47" si="0">SUM(C7:K7)</f>
        <v>57047280.504799999</v>
      </c>
    </row>
    <row r="8" spans="1:12" ht="18" customHeight="1" x14ac:dyDescent="0.25">
      <c r="A8" s="359">
        <v>3</v>
      </c>
      <c r="B8" s="147" t="s">
        <v>243</v>
      </c>
      <c r="C8" s="186">
        <v>228751.5048</v>
      </c>
      <c r="D8" s="186">
        <v>99645</v>
      </c>
      <c r="E8" s="407">
        <v>0</v>
      </c>
      <c r="F8" s="204">
        <v>6142</v>
      </c>
      <c r="G8" s="204">
        <v>100000</v>
      </c>
      <c r="H8" s="204"/>
      <c r="I8" s="204">
        <v>0</v>
      </c>
      <c r="J8" s="204">
        <v>118456</v>
      </c>
      <c r="K8" s="204">
        <v>0</v>
      </c>
      <c r="L8" s="204">
        <f t="shared" si="0"/>
        <v>552994.5048</v>
      </c>
    </row>
    <row r="9" spans="1:12" ht="18" customHeight="1" x14ac:dyDescent="0.25">
      <c r="A9" s="359">
        <v>4</v>
      </c>
      <c r="B9" s="147" t="s">
        <v>244</v>
      </c>
      <c r="C9" s="186">
        <v>228751.5048</v>
      </c>
      <c r="D9" s="186">
        <v>99645</v>
      </c>
      <c r="E9" s="407">
        <v>0</v>
      </c>
      <c r="F9" s="204">
        <v>6142</v>
      </c>
      <c r="G9" s="204">
        <v>100000</v>
      </c>
      <c r="H9" s="204"/>
      <c r="I9" s="204">
        <v>0</v>
      </c>
      <c r="J9" s="204">
        <v>118456</v>
      </c>
      <c r="K9" s="204">
        <v>0</v>
      </c>
      <c r="L9" s="204">
        <f t="shared" si="0"/>
        <v>552994.5048</v>
      </c>
    </row>
    <row r="10" spans="1:12" ht="18" customHeight="1" x14ac:dyDescent="0.25">
      <c r="A10" s="359">
        <v>5</v>
      </c>
      <c r="B10" s="147" t="s">
        <v>245</v>
      </c>
      <c r="C10" s="186">
        <v>228751.5048</v>
      </c>
      <c r="D10" s="186">
        <v>99645</v>
      </c>
      <c r="E10" s="407">
        <v>0</v>
      </c>
      <c r="F10" s="204">
        <v>6142</v>
      </c>
      <c r="G10" s="204">
        <v>100000</v>
      </c>
      <c r="H10" s="204"/>
      <c r="I10" s="204">
        <v>0</v>
      </c>
      <c r="J10" s="204">
        <v>118456</v>
      </c>
      <c r="K10" s="204">
        <v>0</v>
      </c>
      <c r="L10" s="204">
        <f t="shared" si="0"/>
        <v>552994.5048</v>
      </c>
    </row>
    <row r="11" spans="1:12" ht="18" customHeight="1" x14ac:dyDescent="0.25">
      <c r="A11" s="359">
        <v>6</v>
      </c>
      <c r="B11" s="147" t="s">
        <v>246</v>
      </c>
      <c r="C11" s="186">
        <v>228751.5048</v>
      </c>
      <c r="D11" s="186">
        <v>99645</v>
      </c>
      <c r="E11" s="407">
        <v>0</v>
      </c>
      <c r="F11" s="204">
        <v>6142</v>
      </c>
      <c r="G11" s="204">
        <v>100000</v>
      </c>
      <c r="H11" s="204"/>
      <c r="I11" s="204">
        <v>0</v>
      </c>
      <c r="J11" s="204">
        <v>118456</v>
      </c>
      <c r="K11" s="204">
        <v>0</v>
      </c>
      <c r="L11" s="204">
        <f t="shared" si="0"/>
        <v>552994.5048</v>
      </c>
    </row>
    <row r="12" spans="1:12" ht="18" customHeight="1" x14ac:dyDescent="0.25">
      <c r="A12" s="359">
        <v>7</v>
      </c>
      <c r="B12" s="147" t="s">
        <v>247</v>
      </c>
      <c r="C12" s="186">
        <v>228751.5048</v>
      </c>
      <c r="D12" s="186">
        <v>99645</v>
      </c>
      <c r="E12" s="407">
        <v>0</v>
      </c>
      <c r="F12" s="204">
        <v>6142</v>
      </c>
      <c r="G12" s="204">
        <v>100000</v>
      </c>
      <c r="H12" s="204"/>
      <c r="I12" s="204">
        <v>0</v>
      </c>
      <c r="J12" s="204">
        <v>118456</v>
      </c>
      <c r="K12" s="204">
        <v>0</v>
      </c>
      <c r="L12" s="204">
        <f t="shared" si="0"/>
        <v>552994.5048</v>
      </c>
    </row>
    <row r="13" spans="1:12" ht="18" customHeight="1" x14ac:dyDescent="0.25">
      <c r="A13" s="359">
        <v>8</v>
      </c>
      <c r="B13" s="147" t="s">
        <v>248</v>
      </c>
      <c r="C13" s="186">
        <v>228751.5048</v>
      </c>
      <c r="D13" s="186">
        <v>99645</v>
      </c>
      <c r="E13" s="407">
        <v>0</v>
      </c>
      <c r="F13" s="204">
        <v>6142</v>
      </c>
      <c r="G13" s="204">
        <v>100000</v>
      </c>
      <c r="H13" s="204"/>
      <c r="I13" s="204">
        <v>0</v>
      </c>
      <c r="J13" s="204">
        <v>118456</v>
      </c>
      <c r="K13" s="204">
        <v>0</v>
      </c>
      <c r="L13" s="204">
        <f t="shared" si="0"/>
        <v>552994.5048</v>
      </c>
    </row>
    <row r="14" spans="1:12" ht="18" customHeight="1" x14ac:dyDescent="0.25">
      <c r="A14" s="359">
        <v>9</v>
      </c>
      <c r="B14" s="147" t="s">
        <v>249</v>
      </c>
      <c r="C14" s="186">
        <v>228751.5048</v>
      </c>
      <c r="D14" s="186">
        <v>99645</v>
      </c>
      <c r="E14" s="407">
        <v>0</v>
      </c>
      <c r="F14" s="204">
        <v>6142</v>
      </c>
      <c r="G14" s="204">
        <v>100000</v>
      </c>
      <c r="H14" s="204"/>
      <c r="I14" s="204">
        <v>0</v>
      </c>
      <c r="J14" s="204">
        <v>118456</v>
      </c>
      <c r="K14" s="204">
        <v>0</v>
      </c>
      <c r="L14" s="204">
        <f t="shared" si="0"/>
        <v>552994.5048</v>
      </c>
    </row>
    <row r="15" spans="1:12" ht="18" customHeight="1" x14ac:dyDescent="0.25">
      <c r="A15" s="359">
        <v>10</v>
      </c>
      <c r="B15" s="147" t="s">
        <v>250</v>
      </c>
      <c r="C15" s="186">
        <v>228751.5048</v>
      </c>
      <c r="D15" s="186">
        <v>99645</v>
      </c>
      <c r="E15" s="407">
        <v>0</v>
      </c>
      <c r="F15" s="204">
        <v>6142</v>
      </c>
      <c r="G15" s="204">
        <v>100000</v>
      </c>
      <c r="H15" s="204"/>
      <c r="I15" s="204">
        <v>0</v>
      </c>
      <c r="J15" s="204">
        <v>118456</v>
      </c>
      <c r="K15" s="204">
        <v>0</v>
      </c>
      <c r="L15" s="204">
        <f t="shared" si="0"/>
        <v>552994.5048</v>
      </c>
    </row>
    <row r="16" spans="1:12" ht="18" customHeight="1" x14ac:dyDescent="0.25">
      <c r="A16" s="359">
        <v>11</v>
      </c>
      <c r="B16" s="147" t="s">
        <v>251</v>
      </c>
      <c r="C16" s="186">
        <v>228751.5048</v>
      </c>
      <c r="D16" s="186">
        <v>99645</v>
      </c>
      <c r="E16" s="407">
        <v>0</v>
      </c>
      <c r="F16" s="204">
        <v>6142</v>
      </c>
      <c r="G16" s="204">
        <v>100000</v>
      </c>
      <c r="H16" s="204"/>
      <c r="I16" s="204">
        <v>0</v>
      </c>
      <c r="J16" s="204">
        <v>118456</v>
      </c>
      <c r="K16" s="204">
        <v>0</v>
      </c>
      <c r="L16" s="204">
        <f t="shared" si="0"/>
        <v>552994.5048</v>
      </c>
    </row>
    <row r="17" spans="1:12" ht="18" customHeight="1" x14ac:dyDescent="0.25">
      <c r="A17" s="359">
        <v>12</v>
      </c>
      <c r="B17" s="147" t="s">
        <v>252</v>
      </c>
      <c r="C17" s="186">
        <v>228751.5048</v>
      </c>
      <c r="D17" s="186">
        <v>99645</v>
      </c>
      <c r="E17" s="407">
        <v>0</v>
      </c>
      <c r="F17" s="204">
        <v>6142</v>
      </c>
      <c r="G17" s="204">
        <v>100000</v>
      </c>
      <c r="H17" s="204"/>
      <c r="I17" s="204">
        <v>0</v>
      </c>
      <c r="J17" s="204">
        <v>118456</v>
      </c>
      <c r="K17" s="204">
        <v>0</v>
      </c>
      <c r="L17" s="204">
        <f t="shared" si="0"/>
        <v>552994.5048</v>
      </c>
    </row>
    <row r="18" spans="1:12" ht="18" customHeight="1" x14ac:dyDescent="0.25">
      <c r="A18" s="359">
        <v>13</v>
      </c>
      <c r="B18" s="147" t="s">
        <v>253</v>
      </c>
      <c r="C18" s="186">
        <v>228751.5048</v>
      </c>
      <c r="D18" s="186">
        <v>99645</v>
      </c>
      <c r="E18" s="407">
        <v>0</v>
      </c>
      <c r="F18" s="204">
        <v>6142</v>
      </c>
      <c r="G18" s="204">
        <v>100000</v>
      </c>
      <c r="H18" s="204"/>
      <c r="I18" s="204">
        <v>0</v>
      </c>
      <c r="J18" s="204">
        <v>118456</v>
      </c>
      <c r="K18" s="204">
        <v>0</v>
      </c>
      <c r="L18" s="204">
        <f t="shared" si="0"/>
        <v>552994.5048</v>
      </c>
    </row>
    <row r="19" spans="1:12" ht="18" customHeight="1" x14ac:dyDescent="0.25">
      <c r="A19" s="359">
        <v>14</v>
      </c>
      <c r="B19" s="147" t="s">
        <v>254</v>
      </c>
      <c r="C19" s="186">
        <v>228751.5048</v>
      </c>
      <c r="D19" s="186">
        <v>99645</v>
      </c>
      <c r="E19" s="407">
        <v>0</v>
      </c>
      <c r="F19" s="204">
        <v>6142</v>
      </c>
      <c r="G19" s="204">
        <v>100000</v>
      </c>
      <c r="H19" s="204"/>
      <c r="I19" s="204">
        <v>0</v>
      </c>
      <c r="J19" s="204">
        <v>118456</v>
      </c>
      <c r="K19" s="204">
        <v>0</v>
      </c>
      <c r="L19" s="204">
        <f t="shared" si="0"/>
        <v>552994.5048</v>
      </c>
    </row>
    <row r="20" spans="1:12" ht="18" customHeight="1" x14ac:dyDescent="0.25">
      <c r="A20" s="359">
        <v>15</v>
      </c>
      <c r="B20" s="147" t="s">
        <v>255</v>
      </c>
      <c r="C20" s="186">
        <v>228751.5048</v>
      </c>
      <c r="D20" s="186">
        <v>99645</v>
      </c>
      <c r="E20" s="407">
        <v>0</v>
      </c>
      <c r="F20" s="204">
        <v>6142</v>
      </c>
      <c r="G20" s="204">
        <v>100000</v>
      </c>
      <c r="H20" s="204"/>
      <c r="I20" s="204">
        <v>0</v>
      </c>
      <c r="J20" s="204">
        <v>118456</v>
      </c>
      <c r="K20" s="204">
        <v>0</v>
      </c>
      <c r="L20" s="204">
        <f t="shared" si="0"/>
        <v>552994.5048</v>
      </c>
    </row>
    <row r="21" spans="1:12" ht="18" customHeight="1" x14ac:dyDescent="0.25">
      <c r="A21" s="359">
        <v>16</v>
      </c>
      <c r="B21" s="147" t="s">
        <v>256</v>
      </c>
      <c r="C21" s="186">
        <v>228751.5048</v>
      </c>
      <c r="D21" s="186">
        <v>99645</v>
      </c>
      <c r="E21" s="407">
        <v>0</v>
      </c>
      <c r="F21" s="204">
        <v>6142</v>
      </c>
      <c r="G21" s="204">
        <v>100000</v>
      </c>
      <c r="H21" s="204"/>
      <c r="I21" s="204">
        <v>0</v>
      </c>
      <c r="J21" s="204">
        <v>118456</v>
      </c>
      <c r="K21" s="204">
        <v>0</v>
      </c>
      <c r="L21" s="204">
        <f t="shared" si="0"/>
        <v>552994.5048</v>
      </c>
    </row>
    <row r="22" spans="1:12" ht="18" customHeight="1" x14ac:dyDescent="0.25">
      <c r="A22" s="359">
        <v>17</v>
      </c>
      <c r="B22" s="147" t="s">
        <v>257</v>
      </c>
      <c r="C22" s="186">
        <v>228751.5048</v>
      </c>
      <c r="D22" s="186">
        <v>99645</v>
      </c>
      <c r="E22" s="407">
        <v>0</v>
      </c>
      <c r="F22" s="204">
        <v>6142</v>
      </c>
      <c r="G22" s="204">
        <v>100000</v>
      </c>
      <c r="H22" s="204"/>
      <c r="I22" s="204">
        <v>0</v>
      </c>
      <c r="J22" s="204">
        <v>118456</v>
      </c>
      <c r="K22" s="204">
        <v>0</v>
      </c>
      <c r="L22" s="204">
        <f t="shared" si="0"/>
        <v>552994.5048</v>
      </c>
    </row>
    <row r="23" spans="1:12" ht="18" customHeight="1" x14ac:dyDescent="0.25">
      <c r="A23" s="359">
        <v>18</v>
      </c>
      <c r="B23" s="147" t="s">
        <v>258</v>
      </c>
      <c r="C23" s="186">
        <v>228751.5048</v>
      </c>
      <c r="D23" s="186">
        <v>99645</v>
      </c>
      <c r="E23" s="407">
        <v>0</v>
      </c>
      <c r="F23" s="204">
        <v>6142</v>
      </c>
      <c r="G23" s="204">
        <v>100000</v>
      </c>
      <c r="H23" s="204"/>
      <c r="I23" s="204">
        <v>0</v>
      </c>
      <c r="J23" s="204">
        <v>118456</v>
      </c>
      <c r="K23" s="204">
        <v>0</v>
      </c>
      <c r="L23" s="204">
        <f t="shared" si="0"/>
        <v>552994.5048</v>
      </c>
    </row>
    <row r="24" spans="1:12" ht="18" customHeight="1" x14ac:dyDescent="0.25">
      <c r="A24" s="359">
        <v>19</v>
      </c>
      <c r="B24" s="147" t="s">
        <v>259</v>
      </c>
      <c r="C24" s="186">
        <v>228751.5048</v>
      </c>
      <c r="D24" s="186">
        <v>531440</v>
      </c>
      <c r="E24" s="407">
        <v>187590</v>
      </c>
      <c r="F24" s="204">
        <v>36852</v>
      </c>
      <c r="G24" s="204">
        <v>400000</v>
      </c>
      <c r="H24" s="204"/>
      <c r="I24" s="204">
        <v>0</v>
      </c>
      <c r="J24" s="204">
        <v>236912</v>
      </c>
      <c r="K24" s="204">
        <v>2914925</v>
      </c>
      <c r="L24" s="204">
        <f t="shared" si="0"/>
        <v>4536470.5048000002</v>
      </c>
    </row>
    <row r="25" spans="1:12" ht="18" customHeight="1" x14ac:dyDescent="0.25">
      <c r="A25" s="359">
        <v>20</v>
      </c>
      <c r="B25" s="147" t="s">
        <v>260</v>
      </c>
      <c r="C25" s="186">
        <v>228751.5048</v>
      </c>
      <c r="D25" s="186">
        <v>99645</v>
      </c>
      <c r="E25" s="407">
        <v>0</v>
      </c>
      <c r="F25" s="204">
        <v>6142</v>
      </c>
      <c r="G25" s="204">
        <v>100000</v>
      </c>
      <c r="H25" s="204"/>
      <c r="I25" s="204">
        <v>0</v>
      </c>
      <c r="J25" s="204">
        <v>118456</v>
      </c>
      <c r="K25" s="204">
        <v>0</v>
      </c>
      <c r="L25" s="204">
        <f t="shared" si="0"/>
        <v>552994.5048</v>
      </c>
    </row>
    <row r="26" spans="1:12" ht="18" customHeight="1" x14ac:dyDescent="0.25">
      <c r="A26" s="359">
        <v>21</v>
      </c>
      <c r="B26" s="147" t="s">
        <v>261</v>
      </c>
      <c r="C26" s="186">
        <v>228751.5048</v>
      </c>
      <c r="D26" s="186">
        <v>99645</v>
      </c>
      <c r="E26" s="407">
        <v>0</v>
      </c>
      <c r="F26" s="204">
        <v>6142</v>
      </c>
      <c r="G26" s="204">
        <v>100000</v>
      </c>
      <c r="H26" s="204"/>
      <c r="I26" s="204">
        <v>0</v>
      </c>
      <c r="J26" s="204">
        <v>118456</v>
      </c>
      <c r="K26" s="204">
        <v>0</v>
      </c>
      <c r="L26" s="204">
        <f t="shared" si="0"/>
        <v>552994.5048</v>
      </c>
    </row>
    <row r="27" spans="1:12" ht="18" customHeight="1" x14ac:dyDescent="0.25">
      <c r="A27" s="359">
        <v>22</v>
      </c>
      <c r="B27" s="147" t="s">
        <v>262</v>
      </c>
      <c r="C27" s="186">
        <v>228751.5048</v>
      </c>
      <c r="D27" s="186">
        <v>99645</v>
      </c>
      <c r="E27" s="407">
        <v>0</v>
      </c>
      <c r="F27" s="204">
        <v>6142</v>
      </c>
      <c r="G27" s="204">
        <v>100000</v>
      </c>
      <c r="H27" s="204"/>
      <c r="I27" s="204">
        <v>0</v>
      </c>
      <c r="J27" s="204">
        <v>118456</v>
      </c>
      <c r="K27" s="204">
        <v>0</v>
      </c>
      <c r="L27" s="204">
        <f t="shared" si="0"/>
        <v>552994.5048</v>
      </c>
    </row>
    <row r="28" spans="1:12" ht="18" customHeight="1" x14ac:dyDescent="0.25">
      <c r="A28" s="365">
        <v>23</v>
      </c>
      <c r="B28" s="412" t="s">
        <v>263</v>
      </c>
      <c r="C28" s="415">
        <v>228751.5048</v>
      </c>
      <c r="D28" s="415">
        <v>99645</v>
      </c>
      <c r="E28" s="430">
        <v>0</v>
      </c>
      <c r="F28" s="413">
        <v>6142</v>
      </c>
      <c r="G28" s="413">
        <v>100000</v>
      </c>
      <c r="H28" s="413"/>
      <c r="I28" s="413">
        <v>0</v>
      </c>
      <c r="J28" s="413">
        <v>118456</v>
      </c>
      <c r="K28" s="413">
        <v>0</v>
      </c>
      <c r="L28" s="413">
        <f t="shared" si="0"/>
        <v>552994.5048</v>
      </c>
    </row>
    <row r="29" spans="1:12" ht="18" customHeight="1" x14ac:dyDescent="0.25">
      <c r="A29" s="382"/>
      <c r="B29" s="418"/>
      <c r="C29" s="406"/>
      <c r="D29" s="406"/>
      <c r="E29" s="431"/>
      <c r="F29" s="403"/>
      <c r="G29" s="403"/>
      <c r="H29" s="403"/>
      <c r="I29" s="403"/>
      <c r="J29" s="403"/>
      <c r="K29" s="403"/>
      <c r="L29" s="403"/>
    </row>
    <row r="30" spans="1:12" ht="18" customHeight="1" x14ac:dyDescent="0.25">
      <c r="A30" s="419"/>
      <c r="B30" s="420"/>
      <c r="C30" s="421"/>
      <c r="D30" s="421"/>
      <c r="E30" s="432"/>
      <c r="F30" s="344"/>
      <c r="G30" s="344"/>
      <c r="H30" s="344"/>
      <c r="I30" s="344"/>
      <c r="J30" s="344"/>
      <c r="K30" s="344"/>
      <c r="L30" s="344"/>
    </row>
    <row r="31" spans="1:12" ht="18" customHeight="1" x14ac:dyDescent="0.25">
      <c r="A31" s="359">
        <v>24</v>
      </c>
      <c r="B31" s="147" t="s">
        <v>264</v>
      </c>
      <c r="C31" s="186">
        <v>228751.5048</v>
      </c>
      <c r="D31" s="186">
        <v>99645</v>
      </c>
      <c r="E31" s="407">
        <v>0</v>
      </c>
      <c r="F31" s="204">
        <v>6142</v>
      </c>
      <c r="G31" s="204">
        <v>100000</v>
      </c>
      <c r="H31" s="204"/>
      <c r="I31" s="204">
        <v>0</v>
      </c>
      <c r="J31" s="204">
        <v>118456</v>
      </c>
      <c r="K31" s="204">
        <v>0</v>
      </c>
      <c r="L31" s="204">
        <f t="shared" si="0"/>
        <v>552994.5048</v>
      </c>
    </row>
    <row r="32" spans="1:12" ht="18" customHeight="1" x14ac:dyDescent="0.25">
      <c r="A32" s="359">
        <v>25</v>
      </c>
      <c r="B32" s="147" t="s">
        <v>265</v>
      </c>
      <c r="C32" s="186"/>
      <c r="D32" s="186">
        <v>531440</v>
      </c>
      <c r="E32" s="407">
        <v>500240</v>
      </c>
      <c r="F32" s="204">
        <v>36852</v>
      </c>
      <c r="G32" s="204">
        <v>400000</v>
      </c>
      <c r="H32" s="204">
        <v>0</v>
      </c>
      <c r="I32" s="204">
        <v>0</v>
      </c>
      <c r="J32" s="204">
        <v>236912</v>
      </c>
      <c r="K32" s="204">
        <v>2914925</v>
      </c>
      <c r="L32" s="204">
        <f t="shared" si="0"/>
        <v>4620369</v>
      </c>
    </row>
    <row r="33" spans="1:14" ht="18" customHeight="1" x14ac:dyDescent="0.25">
      <c r="A33" s="359">
        <v>26</v>
      </c>
      <c r="B33" s="147" t="s">
        <v>266</v>
      </c>
      <c r="C33" s="186">
        <v>228751.5048</v>
      </c>
      <c r="D33" s="186">
        <v>99645</v>
      </c>
      <c r="E33" s="407">
        <v>0</v>
      </c>
      <c r="F33" s="204">
        <v>6142</v>
      </c>
      <c r="G33" s="204">
        <v>100000</v>
      </c>
      <c r="H33" s="204"/>
      <c r="I33" s="204">
        <v>0</v>
      </c>
      <c r="J33" s="204">
        <v>118456</v>
      </c>
      <c r="K33" s="204">
        <v>0</v>
      </c>
      <c r="L33" s="204">
        <f t="shared" si="0"/>
        <v>552994.5048</v>
      </c>
    </row>
    <row r="34" spans="1:14" ht="18" customHeight="1" x14ac:dyDescent="0.25">
      <c r="A34" s="359">
        <v>27</v>
      </c>
      <c r="B34" s="147" t="s">
        <v>267</v>
      </c>
      <c r="C34" s="186">
        <v>228751.5048</v>
      </c>
      <c r="D34" s="186">
        <v>99645</v>
      </c>
      <c r="E34" s="407">
        <v>0</v>
      </c>
      <c r="F34" s="204">
        <v>6142</v>
      </c>
      <c r="G34" s="204">
        <v>100000</v>
      </c>
      <c r="H34" s="204"/>
      <c r="I34" s="204">
        <v>0</v>
      </c>
      <c r="J34" s="204">
        <v>118456</v>
      </c>
      <c r="K34" s="204">
        <v>0</v>
      </c>
      <c r="L34" s="204">
        <f t="shared" si="0"/>
        <v>552994.5048</v>
      </c>
    </row>
    <row r="35" spans="1:14" ht="18" customHeight="1" x14ac:dyDescent="0.25">
      <c r="A35" s="359">
        <v>28</v>
      </c>
      <c r="B35" s="147" t="s">
        <v>268</v>
      </c>
      <c r="C35" s="186">
        <v>228751.5048</v>
      </c>
      <c r="D35" s="186">
        <v>99645</v>
      </c>
      <c r="E35" s="407">
        <v>0</v>
      </c>
      <c r="F35" s="204">
        <v>6142</v>
      </c>
      <c r="G35" s="204">
        <v>100000</v>
      </c>
      <c r="H35" s="204"/>
      <c r="I35" s="204">
        <v>0</v>
      </c>
      <c r="J35" s="204">
        <v>118456</v>
      </c>
      <c r="K35" s="204">
        <v>0</v>
      </c>
      <c r="L35" s="204">
        <f t="shared" si="0"/>
        <v>552994.5048</v>
      </c>
    </row>
    <row r="36" spans="1:14" ht="18" customHeight="1" x14ac:dyDescent="0.25">
      <c r="A36" s="359">
        <v>29</v>
      </c>
      <c r="B36" s="147" t="s">
        <v>269</v>
      </c>
      <c r="C36" s="186">
        <v>228751.5048</v>
      </c>
      <c r="D36" s="186">
        <v>99645</v>
      </c>
      <c r="E36" s="407">
        <v>0</v>
      </c>
      <c r="F36" s="204">
        <v>6142</v>
      </c>
      <c r="G36" s="204">
        <v>100000</v>
      </c>
      <c r="H36" s="204"/>
      <c r="I36" s="204">
        <v>0</v>
      </c>
      <c r="J36" s="204">
        <v>118456</v>
      </c>
      <c r="K36" s="204">
        <v>0</v>
      </c>
      <c r="L36" s="204">
        <f t="shared" si="0"/>
        <v>552994.5048</v>
      </c>
    </row>
    <row r="37" spans="1:14" ht="18" customHeight="1" x14ac:dyDescent="0.25">
      <c r="A37" s="359">
        <v>30</v>
      </c>
      <c r="B37" s="147" t="s">
        <v>270</v>
      </c>
      <c r="C37" s="186">
        <v>228751.5048</v>
      </c>
      <c r="D37" s="186">
        <v>99645</v>
      </c>
      <c r="E37" s="407">
        <v>0</v>
      </c>
      <c r="F37" s="204">
        <v>6142</v>
      </c>
      <c r="G37" s="204">
        <v>100000</v>
      </c>
      <c r="H37" s="204"/>
      <c r="I37" s="204">
        <v>0</v>
      </c>
      <c r="J37" s="204">
        <v>118456</v>
      </c>
      <c r="K37" s="204">
        <v>0</v>
      </c>
      <c r="L37" s="204">
        <f t="shared" si="0"/>
        <v>552994.5048</v>
      </c>
    </row>
    <row r="38" spans="1:14" ht="18" customHeight="1" x14ac:dyDescent="0.25">
      <c r="A38" s="359">
        <v>31</v>
      </c>
      <c r="B38" s="147" t="s">
        <v>271</v>
      </c>
      <c r="C38" s="186">
        <v>228751.5048</v>
      </c>
      <c r="D38" s="186">
        <v>99645</v>
      </c>
      <c r="E38" s="407">
        <v>0</v>
      </c>
      <c r="F38" s="204">
        <v>6142</v>
      </c>
      <c r="G38" s="204">
        <v>100000</v>
      </c>
      <c r="H38" s="204"/>
      <c r="I38" s="204">
        <v>0</v>
      </c>
      <c r="J38" s="204">
        <v>118456</v>
      </c>
      <c r="K38" s="204">
        <v>0</v>
      </c>
      <c r="L38" s="204">
        <f t="shared" si="0"/>
        <v>552994.5048</v>
      </c>
    </row>
    <row r="39" spans="1:14" ht="18" customHeight="1" x14ac:dyDescent="0.25">
      <c r="A39" s="359">
        <v>32</v>
      </c>
      <c r="B39" s="147" t="s">
        <v>272</v>
      </c>
      <c r="C39" s="186">
        <v>228751.5048</v>
      </c>
      <c r="D39" s="186">
        <v>99645</v>
      </c>
      <c r="E39" s="407">
        <v>0</v>
      </c>
      <c r="F39" s="204">
        <v>6142</v>
      </c>
      <c r="G39" s="204">
        <v>100000</v>
      </c>
      <c r="H39" s="204"/>
      <c r="I39" s="204">
        <v>0</v>
      </c>
      <c r="J39" s="204">
        <v>118456</v>
      </c>
      <c r="K39" s="204">
        <v>0</v>
      </c>
      <c r="L39" s="204">
        <f t="shared" si="0"/>
        <v>552994.5048</v>
      </c>
    </row>
    <row r="40" spans="1:14" ht="18" customHeight="1" x14ac:dyDescent="0.25">
      <c r="A40" s="359">
        <v>33</v>
      </c>
      <c r="B40" s="147" t="s">
        <v>273</v>
      </c>
      <c r="C40" s="186">
        <v>228751.5048</v>
      </c>
      <c r="D40" s="186">
        <v>99645</v>
      </c>
      <c r="E40" s="407">
        <v>0</v>
      </c>
      <c r="F40" s="204">
        <v>6142</v>
      </c>
      <c r="G40" s="204">
        <v>100000</v>
      </c>
      <c r="H40" s="204"/>
      <c r="I40" s="204">
        <v>0</v>
      </c>
      <c r="J40" s="204">
        <v>118456</v>
      </c>
      <c r="K40" s="204">
        <v>0</v>
      </c>
      <c r="L40" s="204">
        <f t="shared" si="0"/>
        <v>552994.5048</v>
      </c>
    </row>
    <row r="41" spans="1:14" ht="18" customHeight="1" x14ac:dyDescent="0.25">
      <c r="A41" s="359">
        <v>34</v>
      </c>
      <c r="B41" s="147" t="s">
        <v>274</v>
      </c>
      <c r="C41" s="186">
        <v>228751.5048</v>
      </c>
      <c r="D41" s="186">
        <v>99645</v>
      </c>
      <c r="E41" s="407">
        <v>0</v>
      </c>
      <c r="F41" s="204">
        <v>6142</v>
      </c>
      <c r="G41" s="204">
        <v>100000</v>
      </c>
      <c r="H41" s="204"/>
      <c r="I41" s="204">
        <v>0</v>
      </c>
      <c r="J41" s="204">
        <v>118456</v>
      </c>
      <c r="K41" s="204">
        <v>0</v>
      </c>
      <c r="L41" s="204">
        <f t="shared" si="0"/>
        <v>552994.5048</v>
      </c>
    </row>
    <row r="42" spans="1:14" ht="18" customHeight="1" x14ac:dyDescent="0.25">
      <c r="A42" s="359">
        <v>35</v>
      </c>
      <c r="B42" s="147" t="s">
        <v>275</v>
      </c>
      <c r="C42" s="186">
        <v>228751.5048</v>
      </c>
      <c r="D42" s="186">
        <v>99645</v>
      </c>
      <c r="E42" s="407">
        <v>0</v>
      </c>
      <c r="F42" s="204">
        <v>6142</v>
      </c>
      <c r="G42" s="204">
        <v>100000</v>
      </c>
      <c r="H42" s="204"/>
      <c r="I42" s="204">
        <v>0</v>
      </c>
      <c r="J42" s="204">
        <v>118456</v>
      </c>
      <c r="K42" s="204">
        <v>0</v>
      </c>
      <c r="L42" s="204">
        <f t="shared" si="0"/>
        <v>552994.5048</v>
      </c>
    </row>
    <row r="43" spans="1:14" ht="18" customHeight="1" x14ac:dyDescent="0.25">
      <c r="A43" s="359">
        <v>36</v>
      </c>
      <c r="B43" s="147" t="s">
        <v>296</v>
      </c>
      <c r="C43" s="186">
        <v>228751.5048</v>
      </c>
      <c r="D43" s="186">
        <v>531440</v>
      </c>
      <c r="E43" s="407">
        <v>375180</v>
      </c>
      <c r="F43" s="204">
        <v>36852</v>
      </c>
      <c r="G43" s="204">
        <v>400000</v>
      </c>
      <c r="H43" s="204">
        <v>0</v>
      </c>
      <c r="I43" s="204">
        <v>0</v>
      </c>
      <c r="J43" s="204">
        <v>236912</v>
      </c>
      <c r="K43" s="204">
        <v>2914925</v>
      </c>
      <c r="L43" s="204">
        <f t="shared" si="0"/>
        <v>4724060.5048000002</v>
      </c>
    </row>
    <row r="44" spans="1:14" ht="18" customHeight="1" x14ac:dyDescent="0.25">
      <c r="A44" s="359">
        <v>37</v>
      </c>
      <c r="B44" s="147" t="s">
        <v>277</v>
      </c>
      <c r="C44" s="186">
        <v>228751.5048</v>
      </c>
      <c r="D44" s="186">
        <v>531440</v>
      </c>
      <c r="E44" s="407">
        <v>0</v>
      </c>
      <c r="F44" s="204">
        <v>36852</v>
      </c>
      <c r="G44" s="204">
        <v>400000</v>
      </c>
      <c r="H44" s="204">
        <v>27500000</v>
      </c>
      <c r="I44" s="204">
        <v>25500000</v>
      </c>
      <c r="J44" s="204">
        <v>236912</v>
      </c>
      <c r="K44" s="204">
        <v>2914925</v>
      </c>
      <c r="L44" s="204">
        <f t="shared" si="0"/>
        <v>57348880.504799999</v>
      </c>
    </row>
    <row r="45" spans="1:14" ht="18" customHeight="1" x14ac:dyDescent="0.25">
      <c r="A45" s="359">
        <v>38</v>
      </c>
      <c r="B45" s="147" t="s">
        <v>278</v>
      </c>
      <c r="C45" s="186">
        <v>228751.5048</v>
      </c>
      <c r="D45" s="186">
        <v>531440</v>
      </c>
      <c r="E45" s="407">
        <v>156325</v>
      </c>
      <c r="F45" s="204">
        <v>36852</v>
      </c>
      <c r="G45" s="204">
        <v>400000</v>
      </c>
      <c r="H45" s="204">
        <v>0</v>
      </c>
      <c r="I45" s="204">
        <v>0</v>
      </c>
      <c r="J45" s="204">
        <v>236912</v>
      </c>
      <c r="K45" s="204">
        <v>2914925</v>
      </c>
      <c r="L45" s="204">
        <f t="shared" si="0"/>
        <v>4505205.5048000002</v>
      </c>
    </row>
    <row r="46" spans="1:14" ht="18" customHeight="1" x14ac:dyDescent="0.25">
      <c r="A46" s="359">
        <v>39</v>
      </c>
      <c r="B46" s="147" t="s">
        <v>279</v>
      </c>
      <c r="C46" s="186">
        <v>228751.5048</v>
      </c>
      <c r="D46" s="186">
        <v>99645</v>
      </c>
      <c r="E46" s="407">
        <v>0</v>
      </c>
      <c r="F46" s="204">
        <v>6142</v>
      </c>
      <c r="G46" s="204">
        <v>100000</v>
      </c>
      <c r="H46" s="204"/>
      <c r="I46" s="204">
        <v>0</v>
      </c>
      <c r="J46" s="204">
        <v>118456</v>
      </c>
      <c r="K46" s="204">
        <v>0</v>
      </c>
      <c r="L46" s="204">
        <f t="shared" si="0"/>
        <v>552994.5048</v>
      </c>
    </row>
    <row r="47" spans="1:14" ht="18" customHeight="1" x14ac:dyDescent="0.25">
      <c r="A47" s="359">
        <v>40</v>
      </c>
      <c r="B47" s="147" t="s">
        <v>1858</v>
      </c>
      <c r="C47" s="186"/>
      <c r="D47" s="186">
        <v>0</v>
      </c>
      <c r="E47" s="407">
        <v>0</v>
      </c>
      <c r="F47" s="204">
        <v>6142</v>
      </c>
      <c r="G47" s="204">
        <v>100000</v>
      </c>
      <c r="H47" s="204"/>
      <c r="I47" s="204">
        <v>0</v>
      </c>
      <c r="J47" s="204">
        <v>118456</v>
      </c>
      <c r="K47" s="204">
        <v>0</v>
      </c>
      <c r="L47" s="204">
        <f t="shared" si="0"/>
        <v>224598</v>
      </c>
      <c r="M47" s="181"/>
      <c r="N47" s="122"/>
    </row>
    <row r="48" spans="1:14" ht="18" customHeight="1" x14ac:dyDescent="0.25">
      <c r="A48" s="894"/>
      <c r="B48" s="205" t="s">
        <v>297</v>
      </c>
      <c r="C48" s="196">
        <f>SUM(C6:C47)</f>
        <v>8692557.1824000049</v>
      </c>
      <c r="D48" s="196">
        <f t="shared" ref="D48:K48" si="1">SUM(D6:D47)</f>
        <v>6476925</v>
      </c>
      <c r="E48" s="196">
        <f t="shared" si="1"/>
        <v>1500720</v>
      </c>
      <c r="F48" s="196">
        <f t="shared" si="1"/>
        <v>429940</v>
      </c>
      <c r="G48" s="196">
        <f t="shared" si="1"/>
        <v>5800000</v>
      </c>
      <c r="H48" s="196">
        <f t="shared" si="1"/>
        <v>55000000</v>
      </c>
      <c r="I48" s="196">
        <f t="shared" si="1"/>
        <v>51000000</v>
      </c>
      <c r="J48" s="196">
        <f t="shared" si="1"/>
        <v>5448976</v>
      </c>
      <c r="K48" s="196">
        <f t="shared" si="1"/>
        <v>16906565</v>
      </c>
      <c r="L48" s="196">
        <f>SUM(C48:K48)</f>
        <v>151255683.18239999</v>
      </c>
      <c r="N48" s="123"/>
    </row>
    <row r="49" spans="1:14" ht="18" customHeight="1" x14ac:dyDescent="0.25">
      <c r="A49" s="894"/>
      <c r="B49" s="207" t="s">
        <v>282</v>
      </c>
      <c r="C49" s="196">
        <f t="shared" ref="C49:K49" si="2">C48*16%</f>
        <v>1390809.1491840009</v>
      </c>
      <c r="D49" s="196">
        <f t="shared" si="2"/>
        <v>1036308</v>
      </c>
      <c r="E49" s="196">
        <f t="shared" si="2"/>
        <v>240115.20000000001</v>
      </c>
      <c r="F49" s="196">
        <f t="shared" si="2"/>
        <v>68790.399999999994</v>
      </c>
      <c r="G49" s="196">
        <f t="shared" si="2"/>
        <v>928000</v>
      </c>
      <c r="H49" s="196">
        <f t="shared" si="2"/>
        <v>8800000</v>
      </c>
      <c r="I49" s="196">
        <f t="shared" si="2"/>
        <v>8160000</v>
      </c>
      <c r="J49" s="196">
        <f t="shared" si="2"/>
        <v>871836.16000000003</v>
      </c>
      <c r="K49" s="196">
        <f t="shared" si="2"/>
        <v>2705050.4</v>
      </c>
      <c r="L49" s="196">
        <f>SUM(C49:K49)</f>
        <v>24200909.309184</v>
      </c>
      <c r="N49" s="124"/>
    </row>
    <row r="50" spans="1:14" ht="18" customHeight="1" x14ac:dyDescent="0.25">
      <c r="A50" s="894"/>
      <c r="B50" s="207" t="s">
        <v>298</v>
      </c>
      <c r="C50" s="196">
        <f t="shared" ref="C50:L50" si="3">C48+C49</f>
        <v>10083366.331584007</v>
      </c>
      <c r="D50" s="196">
        <f t="shared" si="3"/>
        <v>7513233</v>
      </c>
      <c r="E50" s="196">
        <f t="shared" si="3"/>
        <v>1740835.2</v>
      </c>
      <c r="F50" s="196">
        <f t="shared" si="3"/>
        <v>498730.4</v>
      </c>
      <c r="G50" s="196">
        <f t="shared" si="3"/>
        <v>6728000</v>
      </c>
      <c r="H50" s="196">
        <f t="shared" si="3"/>
        <v>63800000</v>
      </c>
      <c r="I50" s="196">
        <f t="shared" si="3"/>
        <v>59160000</v>
      </c>
      <c r="J50" s="196">
        <f t="shared" si="3"/>
        <v>6320812.1600000001</v>
      </c>
      <c r="K50" s="196">
        <f t="shared" si="3"/>
        <v>19611615.399999999</v>
      </c>
      <c r="L50" s="196">
        <f t="shared" si="3"/>
        <v>175456592.491584</v>
      </c>
      <c r="N50" s="124"/>
    </row>
    <row r="51" spans="1:14" x14ac:dyDescent="0.25">
      <c r="J51" s="893" t="s">
        <v>161</v>
      </c>
      <c r="K51" s="893"/>
      <c r="L51" s="411">
        <f>+L50+'MUEBLES Y ENSERES II '!O50+'MUEBLES Y ENSERES'!N50</f>
        <v>2780508476.0765123</v>
      </c>
    </row>
  </sheetData>
  <mergeCells count="4">
    <mergeCell ref="J51:K51"/>
    <mergeCell ref="A3:L3"/>
    <mergeCell ref="A4:L4"/>
    <mergeCell ref="A48:A50"/>
  </mergeCells>
  <printOptions horizontalCentered="1"/>
  <pageMargins left="0.7" right="0.7" top="0.75" bottom="0.75" header="0.3" footer="0.3"/>
  <pageSetup paperSize="5" scale="9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00B0F0"/>
  </sheetPr>
  <dimension ref="A1:G30"/>
  <sheetViews>
    <sheetView view="pageLayout" zoomScaleNormal="100" workbookViewId="0">
      <selection activeCell="C5" sqref="C5"/>
    </sheetView>
  </sheetViews>
  <sheetFormatPr baseColWidth="10" defaultRowHeight="15" x14ac:dyDescent="0.25"/>
  <cols>
    <col min="1" max="2" width="11.42578125" style="113"/>
    <col min="3" max="3" width="6.85546875" customWidth="1"/>
    <col min="4" max="4" width="56.85546875" customWidth="1"/>
  </cols>
  <sheetData>
    <row r="1" spans="3:7" s="113" customFormat="1" x14ac:dyDescent="0.25"/>
    <row r="3" spans="3:7" ht="30" customHeight="1" x14ac:dyDescent="0.25">
      <c r="C3" s="890" t="s">
        <v>232</v>
      </c>
      <c r="D3" s="890"/>
      <c r="E3" s="890"/>
      <c r="F3" s="890"/>
      <c r="G3" s="890"/>
    </row>
    <row r="4" spans="3:7" ht="42" customHeight="1" x14ac:dyDescent="0.25">
      <c r="C4" s="872" t="s">
        <v>1907</v>
      </c>
      <c r="D4" s="872"/>
      <c r="E4" s="872"/>
      <c r="F4" s="872"/>
      <c r="G4" s="872"/>
    </row>
    <row r="5" spans="3:7" ht="34.5" customHeight="1" x14ac:dyDescent="0.25">
      <c r="C5" s="481" t="s">
        <v>299</v>
      </c>
      <c r="D5" s="357" t="s">
        <v>0</v>
      </c>
      <c r="E5" s="357" t="s">
        <v>2</v>
      </c>
      <c r="F5" s="357" t="s">
        <v>285</v>
      </c>
      <c r="G5" s="357" t="s">
        <v>164</v>
      </c>
    </row>
    <row r="6" spans="3:7" ht="34.5" customHeight="1" x14ac:dyDescent="0.25">
      <c r="C6" s="483">
        <v>1</v>
      </c>
      <c r="D6" s="185" t="s">
        <v>300</v>
      </c>
      <c r="E6" s="363">
        <v>10</v>
      </c>
      <c r="F6" s="186">
        <v>191035</v>
      </c>
      <c r="G6" s="186">
        <f>F6*E6</f>
        <v>1910350</v>
      </c>
    </row>
    <row r="7" spans="3:7" ht="34.5" customHeight="1" x14ac:dyDescent="0.25">
      <c r="C7" s="483">
        <v>3</v>
      </c>
      <c r="D7" s="185" t="s">
        <v>301</v>
      </c>
      <c r="E7" s="363">
        <v>5</v>
      </c>
      <c r="F7" s="186">
        <v>80000</v>
      </c>
      <c r="G7" s="186">
        <f t="shared" ref="G7:G10" si="0">F7*E7</f>
        <v>400000</v>
      </c>
    </row>
    <row r="8" spans="3:7" ht="34.5" customHeight="1" x14ac:dyDescent="0.25">
      <c r="C8" s="483">
        <v>5</v>
      </c>
      <c r="D8" s="185" t="s">
        <v>302</v>
      </c>
      <c r="E8" s="363">
        <v>10</v>
      </c>
      <c r="F8" s="186">
        <v>99138</v>
      </c>
      <c r="G8" s="186">
        <f t="shared" si="0"/>
        <v>991380</v>
      </c>
    </row>
    <row r="9" spans="3:7" ht="34.5" customHeight="1" x14ac:dyDescent="0.25">
      <c r="C9" s="483">
        <v>6</v>
      </c>
      <c r="D9" s="185" t="s">
        <v>1845</v>
      </c>
      <c r="E9" s="363">
        <v>10</v>
      </c>
      <c r="F9" s="186">
        <v>59483</v>
      </c>
      <c r="G9" s="186">
        <f t="shared" si="0"/>
        <v>594830</v>
      </c>
    </row>
    <row r="10" spans="3:7" ht="34.5" customHeight="1" x14ac:dyDescent="0.25">
      <c r="C10" s="483">
        <v>7</v>
      </c>
      <c r="D10" s="185" t="s">
        <v>304</v>
      </c>
      <c r="E10" s="363">
        <v>10</v>
      </c>
      <c r="F10" s="186">
        <v>79052</v>
      </c>
      <c r="G10" s="186">
        <f t="shared" si="0"/>
        <v>790520</v>
      </c>
    </row>
    <row r="11" spans="3:7" x14ac:dyDescent="0.25">
      <c r="C11" s="213"/>
      <c r="D11" s="201"/>
      <c r="E11" s="877" t="s">
        <v>560</v>
      </c>
      <c r="F11" s="878"/>
      <c r="G11" s="151">
        <f>SUM(G6:G10)</f>
        <v>4687080</v>
      </c>
    </row>
    <row r="12" spans="3:7" x14ac:dyDescent="0.25">
      <c r="C12" s="194"/>
      <c r="D12" s="214"/>
      <c r="E12" s="877" t="s">
        <v>159</v>
      </c>
      <c r="F12" s="878"/>
      <c r="G12" s="151">
        <f>G11*16%</f>
        <v>749932.8</v>
      </c>
    </row>
    <row r="13" spans="3:7" x14ac:dyDescent="0.25">
      <c r="C13" s="194"/>
      <c r="D13" s="214"/>
      <c r="E13" s="877" t="s">
        <v>298</v>
      </c>
      <c r="F13" s="878"/>
      <c r="G13" s="151">
        <f>G11+G12</f>
        <v>5437012.7999999998</v>
      </c>
    </row>
    <row r="19" ht="33" customHeight="1" x14ac:dyDescent="0.25"/>
    <row r="20" ht="81" customHeight="1" x14ac:dyDescent="0.25"/>
    <row r="21" ht="29.25" customHeight="1" x14ac:dyDescent="0.25"/>
    <row r="22" ht="40.5" customHeight="1" x14ac:dyDescent="0.25"/>
    <row r="23" ht="41.25" customHeight="1" x14ac:dyDescent="0.25"/>
    <row r="24" s="113" customFormat="1" ht="41.25" customHeight="1" x14ac:dyDescent="0.25"/>
    <row r="25" ht="50.25" customHeight="1" x14ac:dyDescent="0.25"/>
    <row r="26" s="113" customFormat="1" ht="50.25" customHeight="1" x14ac:dyDescent="0.25"/>
    <row r="27" s="113" customFormat="1" ht="50.25" customHeight="1" x14ac:dyDescent="0.25"/>
    <row r="28" ht="20.100000000000001" customHeight="1" x14ac:dyDescent="0.25"/>
    <row r="29" ht="20.100000000000001" customHeight="1" x14ac:dyDescent="0.25"/>
    <row r="30" ht="20.100000000000001" customHeight="1" x14ac:dyDescent="0.25"/>
  </sheetData>
  <mergeCells count="5">
    <mergeCell ref="C3:G3"/>
    <mergeCell ref="C4:G4"/>
    <mergeCell ref="E11:F11"/>
    <mergeCell ref="E12:F12"/>
    <mergeCell ref="E13:F13"/>
  </mergeCells>
  <pageMargins left="0.7" right="0.7" top="0.75" bottom="0.75" header="0.3" footer="0.3"/>
  <pageSetup paperSize="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M51"/>
  <sheetViews>
    <sheetView view="pageLayout" zoomScaleNormal="100" workbookViewId="0">
      <selection activeCell="C28" sqref="C28"/>
    </sheetView>
  </sheetViews>
  <sheetFormatPr baseColWidth="10" defaultRowHeight="15" x14ac:dyDescent="0.25"/>
  <cols>
    <col min="1" max="1" width="11.42578125" style="113"/>
    <col min="2" max="2" width="4.42578125" style="113" customWidth="1"/>
    <col min="3" max="3" width="22.85546875" style="113" customWidth="1"/>
    <col min="4" max="12" width="11.42578125" style="113"/>
    <col min="13" max="13" width="13.42578125" style="113" customWidth="1"/>
    <col min="14" max="16384" width="11.42578125" style="113"/>
  </cols>
  <sheetData>
    <row r="3" spans="2:13" x14ac:dyDescent="0.25">
      <c r="B3" s="890" t="s">
        <v>286</v>
      </c>
      <c r="C3" s="890"/>
      <c r="D3" s="890"/>
      <c r="E3" s="890"/>
      <c r="F3" s="890"/>
      <c r="G3" s="890"/>
      <c r="H3" s="890"/>
      <c r="I3" s="890"/>
      <c r="J3" s="890"/>
      <c r="K3" s="890"/>
      <c r="L3" s="890"/>
      <c r="M3" s="890"/>
    </row>
    <row r="4" spans="2:13" x14ac:dyDescent="0.25">
      <c r="B4" s="868" t="s">
        <v>1859</v>
      </c>
      <c r="C4" s="869"/>
      <c r="D4" s="869"/>
      <c r="E4" s="869"/>
      <c r="F4" s="869"/>
      <c r="G4" s="869"/>
      <c r="H4" s="869"/>
      <c r="I4" s="869"/>
      <c r="J4" s="869"/>
      <c r="K4" s="869"/>
      <c r="L4" s="869"/>
      <c r="M4" s="870"/>
    </row>
    <row r="5" spans="2:13" ht="111.75" customHeight="1" x14ac:dyDescent="0.25">
      <c r="B5" s="408" t="s">
        <v>233</v>
      </c>
      <c r="C5" s="408" t="s">
        <v>287</v>
      </c>
      <c r="D5" s="405" t="s">
        <v>1860</v>
      </c>
      <c r="E5" s="409" t="s">
        <v>1861</v>
      </c>
      <c r="F5" s="409" t="s">
        <v>1862</v>
      </c>
      <c r="G5" s="405" t="s">
        <v>1863</v>
      </c>
      <c r="H5" s="405" t="s">
        <v>963</v>
      </c>
      <c r="I5" s="409" t="s">
        <v>1864</v>
      </c>
      <c r="J5" s="409" t="s">
        <v>1865</v>
      </c>
      <c r="K5" s="409" t="s">
        <v>1866</v>
      </c>
      <c r="L5" s="409" t="s">
        <v>1555</v>
      </c>
      <c r="M5" s="408" t="s">
        <v>295</v>
      </c>
    </row>
    <row r="6" spans="2:13" ht="18" customHeight="1" x14ac:dyDescent="0.25">
      <c r="B6" s="380">
        <v>1</v>
      </c>
      <c r="C6" s="147" t="s">
        <v>241</v>
      </c>
      <c r="D6" s="186">
        <v>2535</v>
      </c>
      <c r="E6" s="186">
        <v>1625</v>
      </c>
      <c r="F6" s="407">
        <v>14000</v>
      </c>
      <c r="G6" s="204">
        <v>3050</v>
      </c>
      <c r="H6" s="204">
        <v>2314</v>
      </c>
      <c r="I6" s="204">
        <v>150</v>
      </c>
      <c r="J6" s="204">
        <v>13000</v>
      </c>
      <c r="K6" s="204">
        <v>10450</v>
      </c>
      <c r="L6" s="204">
        <v>5500</v>
      </c>
      <c r="M6" s="204">
        <f>SUM(D6:L6)</f>
        <v>52624</v>
      </c>
    </row>
    <row r="7" spans="2:13" ht="18" customHeight="1" x14ac:dyDescent="0.25">
      <c r="B7" s="380">
        <v>2</v>
      </c>
      <c r="C7" s="147" t="s">
        <v>242</v>
      </c>
      <c r="D7" s="186">
        <v>2535</v>
      </c>
      <c r="E7" s="186">
        <v>1625</v>
      </c>
      <c r="F7" s="407">
        <v>14000</v>
      </c>
      <c r="G7" s="204">
        <v>3050</v>
      </c>
      <c r="H7" s="204">
        <v>2314</v>
      </c>
      <c r="I7" s="204">
        <v>150</v>
      </c>
      <c r="J7" s="204">
        <v>13000</v>
      </c>
      <c r="K7" s="204">
        <v>10450</v>
      </c>
      <c r="L7" s="204">
        <v>5500</v>
      </c>
      <c r="M7" s="204">
        <f t="shared" ref="M7:M48" si="0">SUM(D7:L7)</f>
        <v>52624</v>
      </c>
    </row>
    <row r="8" spans="2:13" ht="18" customHeight="1" x14ac:dyDescent="0.25">
      <c r="B8" s="380">
        <v>3</v>
      </c>
      <c r="C8" s="147" t="s">
        <v>243</v>
      </c>
      <c r="D8" s="186">
        <v>2535</v>
      </c>
      <c r="E8" s="186">
        <v>1625</v>
      </c>
      <c r="F8" s="407">
        <v>14000</v>
      </c>
      <c r="G8" s="204">
        <v>3050</v>
      </c>
      <c r="H8" s="204">
        <v>2314</v>
      </c>
      <c r="I8" s="204">
        <v>150</v>
      </c>
      <c r="J8" s="204">
        <v>13000</v>
      </c>
      <c r="K8" s="204">
        <v>10450</v>
      </c>
      <c r="L8" s="204">
        <v>5500</v>
      </c>
      <c r="M8" s="204">
        <f t="shared" si="0"/>
        <v>52624</v>
      </c>
    </row>
    <row r="9" spans="2:13" ht="18" customHeight="1" x14ac:dyDescent="0.25">
      <c r="B9" s="380">
        <v>4</v>
      </c>
      <c r="C9" s="147" t="s">
        <v>244</v>
      </c>
      <c r="D9" s="186">
        <v>2535</v>
      </c>
      <c r="E9" s="186">
        <v>1625</v>
      </c>
      <c r="F9" s="407">
        <v>14000</v>
      </c>
      <c r="G9" s="204">
        <v>3050</v>
      </c>
      <c r="H9" s="204">
        <v>2314</v>
      </c>
      <c r="I9" s="204">
        <v>150</v>
      </c>
      <c r="J9" s="204">
        <v>13000</v>
      </c>
      <c r="K9" s="204">
        <v>10450</v>
      </c>
      <c r="L9" s="204">
        <v>5500</v>
      </c>
      <c r="M9" s="204">
        <f t="shared" si="0"/>
        <v>52624</v>
      </c>
    </row>
    <row r="10" spans="2:13" ht="18" customHeight="1" x14ac:dyDescent="0.25">
      <c r="B10" s="380">
        <v>5</v>
      </c>
      <c r="C10" s="147" t="s">
        <v>245</v>
      </c>
      <c r="D10" s="186">
        <v>2535</v>
      </c>
      <c r="E10" s="186">
        <v>1625</v>
      </c>
      <c r="F10" s="407">
        <v>14000</v>
      </c>
      <c r="G10" s="204">
        <v>3050</v>
      </c>
      <c r="H10" s="204">
        <v>2314</v>
      </c>
      <c r="I10" s="204">
        <v>150</v>
      </c>
      <c r="J10" s="204">
        <v>13000</v>
      </c>
      <c r="K10" s="204">
        <v>10450</v>
      </c>
      <c r="L10" s="204">
        <v>5500</v>
      </c>
      <c r="M10" s="204">
        <f t="shared" si="0"/>
        <v>52624</v>
      </c>
    </row>
    <row r="11" spans="2:13" ht="18" customHeight="1" x14ac:dyDescent="0.25">
      <c r="B11" s="380">
        <v>6</v>
      </c>
      <c r="C11" s="147" t="s">
        <v>246</v>
      </c>
      <c r="D11" s="186">
        <v>2535</v>
      </c>
      <c r="E11" s="186">
        <v>1625</v>
      </c>
      <c r="F11" s="407">
        <v>14000</v>
      </c>
      <c r="G11" s="204">
        <v>3050</v>
      </c>
      <c r="H11" s="204">
        <v>2314</v>
      </c>
      <c r="I11" s="204">
        <v>150</v>
      </c>
      <c r="J11" s="204">
        <v>13000</v>
      </c>
      <c r="K11" s="204">
        <v>10450</v>
      </c>
      <c r="L11" s="204">
        <v>5500</v>
      </c>
      <c r="M11" s="204">
        <f t="shared" si="0"/>
        <v>52624</v>
      </c>
    </row>
    <row r="12" spans="2:13" ht="18" customHeight="1" x14ac:dyDescent="0.25">
      <c r="B12" s="380">
        <v>7</v>
      </c>
      <c r="C12" s="147" t="s">
        <v>247</v>
      </c>
      <c r="D12" s="186">
        <v>2535</v>
      </c>
      <c r="E12" s="186">
        <v>1625</v>
      </c>
      <c r="F12" s="407">
        <v>14000</v>
      </c>
      <c r="G12" s="204">
        <v>3050</v>
      </c>
      <c r="H12" s="204">
        <v>2314</v>
      </c>
      <c r="I12" s="204">
        <v>150</v>
      </c>
      <c r="J12" s="204">
        <v>13000</v>
      </c>
      <c r="K12" s="204">
        <v>10450</v>
      </c>
      <c r="L12" s="204">
        <v>5500</v>
      </c>
      <c r="M12" s="204">
        <f t="shared" si="0"/>
        <v>52624</v>
      </c>
    </row>
    <row r="13" spans="2:13" ht="18" customHeight="1" x14ac:dyDescent="0.25">
      <c r="B13" s="380">
        <v>8</v>
      </c>
      <c r="C13" s="147" t="s">
        <v>248</v>
      </c>
      <c r="D13" s="186">
        <v>2535</v>
      </c>
      <c r="E13" s="186">
        <v>1625</v>
      </c>
      <c r="F13" s="407">
        <v>14000</v>
      </c>
      <c r="G13" s="204">
        <v>3050</v>
      </c>
      <c r="H13" s="204">
        <v>2314</v>
      </c>
      <c r="I13" s="204">
        <v>150</v>
      </c>
      <c r="J13" s="204">
        <v>13000</v>
      </c>
      <c r="K13" s="204">
        <v>10450</v>
      </c>
      <c r="L13" s="204">
        <v>5500</v>
      </c>
      <c r="M13" s="204">
        <f t="shared" si="0"/>
        <v>52624</v>
      </c>
    </row>
    <row r="14" spans="2:13" ht="18" customHeight="1" x14ac:dyDescent="0.25">
      <c r="B14" s="380">
        <v>9</v>
      </c>
      <c r="C14" s="147" t="s">
        <v>249</v>
      </c>
      <c r="D14" s="186">
        <v>2535</v>
      </c>
      <c r="E14" s="186">
        <v>1625</v>
      </c>
      <c r="F14" s="407">
        <v>14000</v>
      </c>
      <c r="G14" s="204">
        <v>3050</v>
      </c>
      <c r="H14" s="204">
        <v>2314</v>
      </c>
      <c r="I14" s="204">
        <v>150</v>
      </c>
      <c r="J14" s="204">
        <v>13000</v>
      </c>
      <c r="K14" s="204">
        <v>10450</v>
      </c>
      <c r="L14" s="204">
        <v>5500</v>
      </c>
      <c r="M14" s="204">
        <f t="shared" si="0"/>
        <v>52624</v>
      </c>
    </row>
    <row r="15" spans="2:13" ht="18" customHeight="1" x14ac:dyDescent="0.25">
      <c r="B15" s="380">
        <v>10</v>
      </c>
      <c r="C15" s="147" t="s">
        <v>250</v>
      </c>
      <c r="D15" s="186">
        <v>2535</v>
      </c>
      <c r="E15" s="186">
        <v>1625</v>
      </c>
      <c r="F15" s="407">
        <v>14000</v>
      </c>
      <c r="G15" s="204">
        <v>3050</v>
      </c>
      <c r="H15" s="204">
        <v>2314</v>
      </c>
      <c r="I15" s="204">
        <v>150</v>
      </c>
      <c r="J15" s="204">
        <v>13000</v>
      </c>
      <c r="K15" s="204">
        <v>10450</v>
      </c>
      <c r="L15" s="204">
        <v>5500</v>
      </c>
      <c r="M15" s="204">
        <f t="shared" si="0"/>
        <v>52624</v>
      </c>
    </row>
    <row r="16" spans="2:13" ht="18" customHeight="1" x14ac:dyDescent="0.25">
      <c r="B16" s="380">
        <v>11</v>
      </c>
      <c r="C16" s="147" t="s">
        <v>251</v>
      </c>
      <c r="D16" s="186">
        <v>2535</v>
      </c>
      <c r="E16" s="186">
        <v>1625</v>
      </c>
      <c r="F16" s="407">
        <v>14000</v>
      </c>
      <c r="G16" s="204">
        <v>3050</v>
      </c>
      <c r="H16" s="204">
        <v>2314</v>
      </c>
      <c r="I16" s="204">
        <v>150</v>
      </c>
      <c r="J16" s="204">
        <v>13000</v>
      </c>
      <c r="K16" s="204">
        <v>10450</v>
      </c>
      <c r="L16" s="204">
        <v>5500</v>
      </c>
      <c r="M16" s="204">
        <f t="shared" si="0"/>
        <v>52624</v>
      </c>
    </row>
    <row r="17" spans="2:13" ht="18" customHeight="1" x14ac:dyDescent="0.25">
      <c r="B17" s="380">
        <v>12</v>
      </c>
      <c r="C17" s="147" t="s">
        <v>252</v>
      </c>
      <c r="D17" s="186">
        <v>2535</v>
      </c>
      <c r="E17" s="186">
        <v>1625</v>
      </c>
      <c r="F17" s="407">
        <v>14000</v>
      </c>
      <c r="G17" s="204">
        <v>3050</v>
      </c>
      <c r="H17" s="204">
        <v>2314</v>
      </c>
      <c r="I17" s="204">
        <v>150</v>
      </c>
      <c r="J17" s="204">
        <v>13000</v>
      </c>
      <c r="K17" s="204">
        <v>10450</v>
      </c>
      <c r="L17" s="204">
        <v>5500</v>
      </c>
      <c r="M17" s="204">
        <f t="shared" si="0"/>
        <v>52624</v>
      </c>
    </row>
    <row r="18" spans="2:13" ht="18" customHeight="1" x14ac:dyDescent="0.25">
      <c r="B18" s="380">
        <v>13</v>
      </c>
      <c r="C18" s="147" t="s">
        <v>253</v>
      </c>
      <c r="D18" s="186">
        <v>2535</v>
      </c>
      <c r="E18" s="186">
        <v>1625</v>
      </c>
      <c r="F18" s="407">
        <v>14000</v>
      </c>
      <c r="G18" s="204">
        <v>3050</v>
      </c>
      <c r="H18" s="204">
        <v>2314</v>
      </c>
      <c r="I18" s="204">
        <v>150</v>
      </c>
      <c r="J18" s="204">
        <v>13000</v>
      </c>
      <c r="K18" s="204">
        <v>10450</v>
      </c>
      <c r="L18" s="204">
        <v>5500</v>
      </c>
      <c r="M18" s="204">
        <f t="shared" si="0"/>
        <v>52624</v>
      </c>
    </row>
    <row r="19" spans="2:13" ht="18" customHeight="1" x14ac:dyDescent="0.25">
      <c r="B19" s="380">
        <v>14</v>
      </c>
      <c r="C19" s="147" t="s">
        <v>254</v>
      </c>
      <c r="D19" s="186">
        <v>2535</v>
      </c>
      <c r="E19" s="186">
        <v>1625</v>
      </c>
      <c r="F19" s="407">
        <v>14000</v>
      </c>
      <c r="G19" s="204">
        <v>3050</v>
      </c>
      <c r="H19" s="204">
        <v>2314</v>
      </c>
      <c r="I19" s="204">
        <v>150</v>
      </c>
      <c r="J19" s="204">
        <v>13000</v>
      </c>
      <c r="K19" s="204">
        <v>10450</v>
      </c>
      <c r="L19" s="204">
        <v>5500</v>
      </c>
      <c r="M19" s="204">
        <f t="shared" si="0"/>
        <v>52624</v>
      </c>
    </row>
    <row r="20" spans="2:13" ht="18" customHeight="1" x14ac:dyDescent="0.25">
      <c r="B20" s="380">
        <v>15</v>
      </c>
      <c r="C20" s="147" t="s">
        <v>255</v>
      </c>
      <c r="D20" s="186">
        <v>2535</v>
      </c>
      <c r="E20" s="186">
        <v>1625</v>
      </c>
      <c r="F20" s="407">
        <v>14000</v>
      </c>
      <c r="G20" s="204">
        <v>3050</v>
      </c>
      <c r="H20" s="204">
        <v>2314</v>
      </c>
      <c r="I20" s="204">
        <v>150</v>
      </c>
      <c r="J20" s="204">
        <v>13000</v>
      </c>
      <c r="K20" s="204">
        <v>10450</v>
      </c>
      <c r="L20" s="204">
        <v>5500</v>
      </c>
      <c r="M20" s="204">
        <f t="shared" si="0"/>
        <v>52624</v>
      </c>
    </row>
    <row r="21" spans="2:13" ht="18" customHeight="1" x14ac:dyDescent="0.25">
      <c r="B21" s="380">
        <v>16</v>
      </c>
      <c r="C21" s="147" t="s">
        <v>256</v>
      </c>
      <c r="D21" s="186">
        <v>2535</v>
      </c>
      <c r="E21" s="186">
        <v>1625</v>
      </c>
      <c r="F21" s="407">
        <v>14000</v>
      </c>
      <c r="G21" s="204">
        <v>3050</v>
      </c>
      <c r="H21" s="204">
        <v>2314</v>
      </c>
      <c r="I21" s="204">
        <v>150</v>
      </c>
      <c r="J21" s="204">
        <v>13000</v>
      </c>
      <c r="K21" s="204">
        <v>10450</v>
      </c>
      <c r="L21" s="204">
        <v>5500</v>
      </c>
      <c r="M21" s="204">
        <f t="shared" si="0"/>
        <v>52624</v>
      </c>
    </row>
    <row r="22" spans="2:13" ht="18" customHeight="1" x14ac:dyDescent="0.25">
      <c r="B22" s="380">
        <v>17</v>
      </c>
      <c r="C22" s="147" t="s">
        <v>257</v>
      </c>
      <c r="D22" s="186">
        <v>2535</v>
      </c>
      <c r="E22" s="186">
        <v>1625</v>
      </c>
      <c r="F22" s="407">
        <v>14000</v>
      </c>
      <c r="G22" s="204">
        <v>3050</v>
      </c>
      <c r="H22" s="204">
        <v>2314</v>
      </c>
      <c r="I22" s="204">
        <v>150</v>
      </c>
      <c r="J22" s="204">
        <v>13000</v>
      </c>
      <c r="K22" s="204">
        <v>10450</v>
      </c>
      <c r="L22" s="204">
        <v>5500</v>
      </c>
      <c r="M22" s="204">
        <f t="shared" si="0"/>
        <v>52624</v>
      </c>
    </row>
    <row r="23" spans="2:13" ht="18" customHeight="1" x14ac:dyDescent="0.25">
      <c r="B23" s="380">
        <v>18</v>
      </c>
      <c r="C23" s="147" t="s">
        <v>258</v>
      </c>
      <c r="D23" s="186">
        <v>2535</v>
      </c>
      <c r="E23" s="186">
        <v>1625</v>
      </c>
      <c r="F23" s="407">
        <v>14000</v>
      </c>
      <c r="G23" s="204">
        <v>3050</v>
      </c>
      <c r="H23" s="204">
        <v>2314</v>
      </c>
      <c r="I23" s="204">
        <v>150</v>
      </c>
      <c r="J23" s="204">
        <v>13000</v>
      </c>
      <c r="K23" s="204">
        <v>10450</v>
      </c>
      <c r="L23" s="204">
        <v>5500</v>
      </c>
      <c r="M23" s="204">
        <f t="shared" si="0"/>
        <v>52624</v>
      </c>
    </row>
    <row r="24" spans="2:13" ht="18" customHeight="1" x14ac:dyDescent="0.25">
      <c r="B24" s="502"/>
      <c r="C24" s="526"/>
      <c r="D24" s="527"/>
      <c r="E24" s="527"/>
      <c r="F24" s="528"/>
      <c r="G24" s="343"/>
      <c r="H24" s="343"/>
      <c r="I24" s="343"/>
      <c r="J24" s="343"/>
      <c r="K24" s="343"/>
      <c r="L24" s="343"/>
      <c r="M24" s="343"/>
    </row>
    <row r="25" spans="2:13" ht="18" customHeight="1" x14ac:dyDescent="0.25">
      <c r="B25" s="503"/>
      <c r="C25" s="418"/>
      <c r="D25" s="406"/>
      <c r="E25" s="406"/>
      <c r="F25" s="431"/>
      <c r="G25" s="403"/>
      <c r="H25" s="403"/>
      <c r="I25" s="403"/>
      <c r="J25" s="403"/>
      <c r="K25" s="403"/>
      <c r="L25" s="403"/>
      <c r="M25" s="403"/>
    </row>
    <row r="26" spans="2:13" ht="18" customHeight="1" x14ac:dyDescent="0.25">
      <c r="B26" s="503"/>
      <c r="C26" s="418"/>
      <c r="D26" s="406"/>
      <c r="E26" s="406"/>
      <c r="F26" s="431"/>
      <c r="G26" s="403"/>
      <c r="H26" s="403"/>
      <c r="I26" s="403"/>
      <c r="J26" s="403"/>
      <c r="K26" s="403"/>
      <c r="L26" s="403"/>
      <c r="M26" s="403"/>
    </row>
    <row r="27" spans="2:13" ht="18" customHeight="1" x14ac:dyDescent="0.25">
      <c r="B27" s="497">
        <v>19</v>
      </c>
      <c r="C27" s="147" t="s">
        <v>259</v>
      </c>
      <c r="D27" s="186">
        <v>2535</v>
      </c>
      <c r="E27" s="186">
        <v>1625</v>
      </c>
      <c r="F27" s="407">
        <v>14000</v>
      </c>
      <c r="G27" s="204">
        <v>3050</v>
      </c>
      <c r="H27" s="204">
        <v>2314</v>
      </c>
      <c r="I27" s="204">
        <v>150</v>
      </c>
      <c r="J27" s="204">
        <v>13000</v>
      </c>
      <c r="K27" s="204">
        <v>10450</v>
      </c>
      <c r="L27" s="204">
        <v>5500</v>
      </c>
      <c r="M27" s="204">
        <f t="shared" si="0"/>
        <v>52624</v>
      </c>
    </row>
    <row r="28" spans="2:13" ht="18" customHeight="1" x14ac:dyDescent="0.25">
      <c r="B28" s="365">
        <v>20</v>
      </c>
      <c r="C28" s="412" t="s">
        <v>260</v>
      </c>
      <c r="D28" s="415">
        <v>2535</v>
      </c>
      <c r="E28" s="415">
        <v>1625</v>
      </c>
      <c r="F28" s="430">
        <v>14000</v>
      </c>
      <c r="G28" s="413">
        <v>3050</v>
      </c>
      <c r="H28" s="413">
        <v>2314</v>
      </c>
      <c r="I28" s="413">
        <v>150</v>
      </c>
      <c r="J28" s="413">
        <v>13000</v>
      </c>
      <c r="K28" s="413">
        <v>10450</v>
      </c>
      <c r="L28" s="413">
        <v>5500</v>
      </c>
      <c r="M28" s="413">
        <f t="shared" si="0"/>
        <v>52624</v>
      </c>
    </row>
    <row r="29" spans="2:13" ht="18" customHeight="1" x14ac:dyDescent="0.25">
      <c r="B29" s="365">
        <v>21</v>
      </c>
      <c r="C29" s="412" t="s">
        <v>261</v>
      </c>
      <c r="D29" s="415">
        <v>2535</v>
      </c>
      <c r="E29" s="415">
        <v>1625</v>
      </c>
      <c r="F29" s="430">
        <v>14000</v>
      </c>
      <c r="G29" s="413">
        <v>3050</v>
      </c>
      <c r="H29" s="413">
        <v>2314</v>
      </c>
      <c r="I29" s="413">
        <v>150</v>
      </c>
      <c r="J29" s="413">
        <v>13000</v>
      </c>
      <c r="K29" s="413">
        <v>10450</v>
      </c>
      <c r="L29" s="413">
        <v>5500</v>
      </c>
      <c r="M29" s="413">
        <f t="shared" si="0"/>
        <v>52624</v>
      </c>
    </row>
    <row r="30" spans="2:13" ht="18" customHeight="1" x14ac:dyDescent="0.25">
      <c r="B30" s="380">
        <v>22</v>
      </c>
      <c r="C30" s="147" t="s">
        <v>262</v>
      </c>
      <c r="D30" s="186">
        <v>2535</v>
      </c>
      <c r="E30" s="186">
        <v>1625</v>
      </c>
      <c r="F30" s="407">
        <v>14000</v>
      </c>
      <c r="G30" s="204">
        <v>3050</v>
      </c>
      <c r="H30" s="204">
        <v>2314</v>
      </c>
      <c r="I30" s="204">
        <v>150</v>
      </c>
      <c r="J30" s="204">
        <v>13000</v>
      </c>
      <c r="K30" s="204">
        <v>10450</v>
      </c>
      <c r="L30" s="204">
        <v>5500</v>
      </c>
      <c r="M30" s="204">
        <f t="shared" si="0"/>
        <v>52624</v>
      </c>
    </row>
    <row r="31" spans="2:13" ht="18" customHeight="1" x14ac:dyDescent="0.25">
      <c r="B31" s="365">
        <v>23</v>
      </c>
      <c r="C31" s="412" t="s">
        <v>263</v>
      </c>
      <c r="D31" s="415">
        <v>2535</v>
      </c>
      <c r="E31" s="415">
        <v>1625</v>
      </c>
      <c r="F31" s="430">
        <v>14000</v>
      </c>
      <c r="G31" s="413">
        <v>3050</v>
      </c>
      <c r="H31" s="413">
        <v>2314</v>
      </c>
      <c r="I31" s="413">
        <v>150</v>
      </c>
      <c r="J31" s="413">
        <v>13000</v>
      </c>
      <c r="K31" s="413">
        <v>10450</v>
      </c>
      <c r="L31" s="413">
        <v>5500</v>
      </c>
      <c r="M31" s="413">
        <f t="shared" si="0"/>
        <v>52624</v>
      </c>
    </row>
    <row r="32" spans="2:13" ht="18" customHeight="1" x14ac:dyDescent="0.25">
      <c r="B32" s="380">
        <v>24</v>
      </c>
      <c r="C32" s="147" t="s">
        <v>264</v>
      </c>
      <c r="D32" s="186">
        <v>2535</v>
      </c>
      <c r="E32" s="186">
        <v>1625</v>
      </c>
      <c r="F32" s="407">
        <v>14000</v>
      </c>
      <c r="G32" s="204">
        <v>3050</v>
      </c>
      <c r="H32" s="204">
        <v>2314</v>
      </c>
      <c r="I32" s="204">
        <v>150</v>
      </c>
      <c r="J32" s="204">
        <v>13000</v>
      </c>
      <c r="K32" s="204">
        <v>10450</v>
      </c>
      <c r="L32" s="204">
        <v>5500</v>
      </c>
      <c r="M32" s="204">
        <f t="shared" si="0"/>
        <v>52624</v>
      </c>
    </row>
    <row r="33" spans="2:13" ht="18" customHeight="1" x14ac:dyDescent="0.25">
      <c r="B33" s="380">
        <v>25</v>
      </c>
      <c r="C33" s="147" t="s">
        <v>265</v>
      </c>
      <c r="D33" s="186">
        <v>2535</v>
      </c>
      <c r="E33" s="186">
        <v>1625</v>
      </c>
      <c r="F33" s="407">
        <v>14000</v>
      </c>
      <c r="G33" s="204">
        <v>3050</v>
      </c>
      <c r="H33" s="204">
        <v>2314</v>
      </c>
      <c r="I33" s="204">
        <v>150</v>
      </c>
      <c r="J33" s="204">
        <v>13000</v>
      </c>
      <c r="K33" s="204">
        <v>10450</v>
      </c>
      <c r="L33" s="204">
        <v>5500</v>
      </c>
      <c r="M33" s="204">
        <f t="shared" si="0"/>
        <v>52624</v>
      </c>
    </row>
    <row r="34" spans="2:13" ht="18" customHeight="1" x14ac:dyDescent="0.25">
      <c r="B34" s="380">
        <v>26</v>
      </c>
      <c r="C34" s="147" t="s">
        <v>266</v>
      </c>
      <c r="D34" s="186">
        <v>2535</v>
      </c>
      <c r="E34" s="186">
        <v>1625</v>
      </c>
      <c r="F34" s="407">
        <v>14000</v>
      </c>
      <c r="G34" s="204">
        <v>3050</v>
      </c>
      <c r="H34" s="204">
        <v>2314</v>
      </c>
      <c r="I34" s="204">
        <v>150</v>
      </c>
      <c r="J34" s="204">
        <v>13000</v>
      </c>
      <c r="K34" s="204">
        <v>10450</v>
      </c>
      <c r="L34" s="204">
        <v>5500</v>
      </c>
      <c r="M34" s="204">
        <f t="shared" si="0"/>
        <v>52624</v>
      </c>
    </row>
    <row r="35" spans="2:13" ht="18" customHeight="1" x14ac:dyDescent="0.25">
      <c r="B35" s="380">
        <v>27</v>
      </c>
      <c r="C35" s="147" t="s">
        <v>267</v>
      </c>
      <c r="D35" s="186">
        <v>2535</v>
      </c>
      <c r="E35" s="186">
        <v>1625</v>
      </c>
      <c r="F35" s="407">
        <v>14000</v>
      </c>
      <c r="G35" s="204">
        <v>3050</v>
      </c>
      <c r="H35" s="204">
        <v>2314</v>
      </c>
      <c r="I35" s="204">
        <v>150</v>
      </c>
      <c r="J35" s="204">
        <v>13000</v>
      </c>
      <c r="K35" s="204">
        <v>10450</v>
      </c>
      <c r="L35" s="204">
        <v>5500</v>
      </c>
      <c r="M35" s="204">
        <f t="shared" si="0"/>
        <v>52624</v>
      </c>
    </row>
    <row r="36" spans="2:13" ht="18" customHeight="1" x14ac:dyDescent="0.25">
      <c r="B36" s="380">
        <v>28</v>
      </c>
      <c r="C36" s="147" t="s">
        <v>268</v>
      </c>
      <c r="D36" s="186">
        <v>2535</v>
      </c>
      <c r="E36" s="186">
        <v>1625</v>
      </c>
      <c r="F36" s="407">
        <v>14000</v>
      </c>
      <c r="G36" s="204">
        <v>3050</v>
      </c>
      <c r="H36" s="204">
        <v>2314</v>
      </c>
      <c r="I36" s="204">
        <v>150</v>
      </c>
      <c r="J36" s="204">
        <v>13000</v>
      </c>
      <c r="K36" s="204">
        <v>10450</v>
      </c>
      <c r="L36" s="204">
        <v>5500</v>
      </c>
      <c r="M36" s="204">
        <f t="shared" si="0"/>
        <v>52624</v>
      </c>
    </row>
    <row r="37" spans="2:13" ht="18" customHeight="1" x14ac:dyDescent="0.25">
      <c r="B37" s="380">
        <v>29</v>
      </c>
      <c r="C37" s="147" t="s">
        <v>269</v>
      </c>
      <c r="D37" s="186">
        <v>2535</v>
      </c>
      <c r="E37" s="186">
        <v>1625</v>
      </c>
      <c r="F37" s="407">
        <v>14000</v>
      </c>
      <c r="G37" s="204">
        <v>3050</v>
      </c>
      <c r="H37" s="204">
        <v>2314</v>
      </c>
      <c r="I37" s="204">
        <v>150</v>
      </c>
      <c r="J37" s="204">
        <v>13000</v>
      </c>
      <c r="K37" s="204">
        <v>10450</v>
      </c>
      <c r="L37" s="204">
        <v>5500</v>
      </c>
      <c r="M37" s="204">
        <f t="shared" si="0"/>
        <v>52624</v>
      </c>
    </row>
    <row r="38" spans="2:13" ht="18" customHeight="1" x14ac:dyDescent="0.25">
      <c r="B38" s="380">
        <v>30</v>
      </c>
      <c r="C38" s="147" t="s">
        <v>270</v>
      </c>
      <c r="D38" s="186">
        <v>2535</v>
      </c>
      <c r="E38" s="186">
        <v>1625</v>
      </c>
      <c r="F38" s="407">
        <v>14000</v>
      </c>
      <c r="G38" s="204">
        <v>3050</v>
      </c>
      <c r="H38" s="204">
        <v>2314</v>
      </c>
      <c r="I38" s="204">
        <v>150</v>
      </c>
      <c r="J38" s="204">
        <v>13000</v>
      </c>
      <c r="K38" s="204">
        <v>10450</v>
      </c>
      <c r="L38" s="204">
        <v>5500</v>
      </c>
      <c r="M38" s="204">
        <f t="shared" si="0"/>
        <v>52624</v>
      </c>
    </row>
    <row r="39" spans="2:13" ht="18" customHeight="1" x14ac:dyDescent="0.25">
      <c r="B39" s="380">
        <v>31</v>
      </c>
      <c r="C39" s="147" t="s">
        <v>271</v>
      </c>
      <c r="D39" s="186">
        <v>2535</v>
      </c>
      <c r="E39" s="186">
        <v>1625</v>
      </c>
      <c r="F39" s="407">
        <v>14000</v>
      </c>
      <c r="G39" s="204">
        <v>3050</v>
      </c>
      <c r="H39" s="204">
        <v>2314</v>
      </c>
      <c r="I39" s="204">
        <v>150</v>
      </c>
      <c r="J39" s="204">
        <v>13000</v>
      </c>
      <c r="K39" s="204">
        <v>10450</v>
      </c>
      <c r="L39" s="204">
        <v>5500</v>
      </c>
      <c r="M39" s="204">
        <f t="shared" si="0"/>
        <v>52624</v>
      </c>
    </row>
    <row r="40" spans="2:13" ht="18" customHeight="1" x14ac:dyDescent="0.25">
      <c r="B40" s="380">
        <v>32</v>
      </c>
      <c r="C40" s="147" t="s">
        <v>272</v>
      </c>
      <c r="D40" s="186">
        <v>2535</v>
      </c>
      <c r="E40" s="186">
        <v>1625</v>
      </c>
      <c r="F40" s="407">
        <v>14000</v>
      </c>
      <c r="G40" s="204">
        <v>3050</v>
      </c>
      <c r="H40" s="204">
        <v>2314</v>
      </c>
      <c r="I40" s="204">
        <v>150</v>
      </c>
      <c r="J40" s="204">
        <v>13000</v>
      </c>
      <c r="K40" s="204">
        <v>10450</v>
      </c>
      <c r="L40" s="204">
        <v>5500</v>
      </c>
      <c r="M40" s="204">
        <f t="shared" si="0"/>
        <v>52624</v>
      </c>
    </row>
    <row r="41" spans="2:13" ht="18" customHeight="1" x14ac:dyDescent="0.25">
      <c r="B41" s="380">
        <v>33</v>
      </c>
      <c r="C41" s="147" t="s">
        <v>273</v>
      </c>
      <c r="D41" s="186">
        <v>2535</v>
      </c>
      <c r="E41" s="186">
        <v>1625</v>
      </c>
      <c r="F41" s="407">
        <v>14000</v>
      </c>
      <c r="G41" s="204">
        <v>3050</v>
      </c>
      <c r="H41" s="204">
        <v>2314</v>
      </c>
      <c r="I41" s="204">
        <v>150</v>
      </c>
      <c r="J41" s="204">
        <v>13000</v>
      </c>
      <c r="K41" s="204">
        <v>10450</v>
      </c>
      <c r="L41" s="204">
        <v>5500</v>
      </c>
      <c r="M41" s="204">
        <f t="shared" si="0"/>
        <v>52624</v>
      </c>
    </row>
    <row r="42" spans="2:13" ht="18" customHeight="1" x14ac:dyDescent="0.25">
      <c r="B42" s="380">
        <v>34</v>
      </c>
      <c r="C42" s="147" t="s">
        <v>274</v>
      </c>
      <c r="D42" s="186">
        <v>2535</v>
      </c>
      <c r="E42" s="186">
        <v>1625</v>
      </c>
      <c r="F42" s="407">
        <v>14000</v>
      </c>
      <c r="G42" s="204">
        <v>3050</v>
      </c>
      <c r="H42" s="204">
        <v>2314</v>
      </c>
      <c r="I42" s="204">
        <v>150</v>
      </c>
      <c r="J42" s="204">
        <v>13000</v>
      </c>
      <c r="K42" s="204">
        <v>10450</v>
      </c>
      <c r="L42" s="204">
        <v>5500</v>
      </c>
      <c r="M42" s="204">
        <f t="shared" si="0"/>
        <v>52624</v>
      </c>
    </row>
    <row r="43" spans="2:13" ht="18" customHeight="1" x14ac:dyDescent="0.25">
      <c r="B43" s="380">
        <v>35</v>
      </c>
      <c r="C43" s="147" t="s">
        <v>275</v>
      </c>
      <c r="D43" s="186">
        <v>2535</v>
      </c>
      <c r="E43" s="186">
        <v>1625</v>
      </c>
      <c r="F43" s="407">
        <v>14000</v>
      </c>
      <c r="G43" s="204">
        <v>3050</v>
      </c>
      <c r="H43" s="204">
        <v>2314</v>
      </c>
      <c r="I43" s="204">
        <v>150</v>
      </c>
      <c r="J43" s="204">
        <v>13000</v>
      </c>
      <c r="K43" s="204">
        <v>10450</v>
      </c>
      <c r="L43" s="204">
        <v>5500</v>
      </c>
      <c r="M43" s="204">
        <f t="shared" si="0"/>
        <v>52624</v>
      </c>
    </row>
    <row r="44" spans="2:13" ht="18" customHeight="1" x14ac:dyDescent="0.25">
      <c r="B44" s="380">
        <v>36</v>
      </c>
      <c r="C44" s="147" t="s">
        <v>296</v>
      </c>
      <c r="D44" s="186">
        <v>2535</v>
      </c>
      <c r="E44" s="186">
        <v>1625</v>
      </c>
      <c r="F44" s="407">
        <v>14000</v>
      </c>
      <c r="G44" s="204">
        <v>3050</v>
      </c>
      <c r="H44" s="204">
        <v>2314</v>
      </c>
      <c r="I44" s="204">
        <v>150</v>
      </c>
      <c r="J44" s="204">
        <v>13000</v>
      </c>
      <c r="K44" s="204">
        <v>10450</v>
      </c>
      <c r="L44" s="204">
        <v>5500</v>
      </c>
      <c r="M44" s="204">
        <f t="shared" si="0"/>
        <v>52624</v>
      </c>
    </row>
    <row r="45" spans="2:13" ht="18" customHeight="1" x14ac:dyDescent="0.25">
      <c r="B45" s="380">
        <v>37</v>
      </c>
      <c r="C45" s="147" t="s">
        <v>277</v>
      </c>
      <c r="D45" s="186">
        <v>2535</v>
      </c>
      <c r="E45" s="186">
        <v>1625</v>
      </c>
      <c r="F45" s="407">
        <v>14000</v>
      </c>
      <c r="G45" s="204">
        <v>3050</v>
      </c>
      <c r="H45" s="204">
        <v>2314</v>
      </c>
      <c r="I45" s="204">
        <v>150</v>
      </c>
      <c r="J45" s="204">
        <v>13000</v>
      </c>
      <c r="K45" s="204">
        <v>10450</v>
      </c>
      <c r="L45" s="204">
        <v>5500</v>
      </c>
      <c r="M45" s="204">
        <f t="shared" si="0"/>
        <v>52624</v>
      </c>
    </row>
    <row r="46" spans="2:13" ht="18" customHeight="1" x14ac:dyDescent="0.25">
      <c r="B46" s="380">
        <v>38</v>
      </c>
      <c r="C46" s="147" t="s">
        <v>278</v>
      </c>
      <c r="D46" s="186">
        <v>2535</v>
      </c>
      <c r="E46" s="186">
        <v>1625</v>
      </c>
      <c r="F46" s="407">
        <v>14000</v>
      </c>
      <c r="G46" s="204">
        <v>3050</v>
      </c>
      <c r="H46" s="204">
        <v>2314</v>
      </c>
      <c r="I46" s="204">
        <v>150</v>
      </c>
      <c r="J46" s="204">
        <v>13000</v>
      </c>
      <c r="K46" s="204">
        <v>10450</v>
      </c>
      <c r="L46" s="204">
        <v>5500</v>
      </c>
      <c r="M46" s="204">
        <f t="shared" si="0"/>
        <v>52624</v>
      </c>
    </row>
    <row r="47" spans="2:13" ht="18" customHeight="1" x14ac:dyDescent="0.25">
      <c r="B47" s="380">
        <v>39</v>
      </c>
      <c r="C47" s="147" t="s">
        <v>279</v>
      </c>
      <c r="D47" s="186">
        <v>2535</v>
      </c>
      <c r="E47" s="186">
        <v>1625</v>
      </c>
      <c r="F47" s="407">
        <v>14000</v>
      </c>
      <c r="G47" s="204">
        <v>3050</v>
      </c>
      <c r="H47" s="204">
        <v>2314</v>
      </c>
      <c r="I47" s="204">
        <v>150</v>
      </c>
      <c r="J47" s="204">
        <v>13000</v>
      </c>
      <c r="K47" s="204">
        <v>10450</v>
      </c>
      <c r="L47" s="204">
        <v>5500</v>
      </c>
      <c r="M47" s="204">
        <f t="shared" si="0"/>
        <v>52624</v>
      </c>
    </row>
    <row r="48" spans="2:13" ht="18" customHeight="1" x14ac:dyDescent="0.25">
      <c r="B48" s="380">
        <v>40</v>
      </c>
      <c r="C48" s="147" t="s">
        <v>1858</v>
      </c>
      <c r="D48" s="186">
        <v>2535</v>
      </c>
      <c r="E48" s="186">
        <v>1625</v>
      </c>
      <c r="F48" s="407">
        <v>14000</v>
      </c>
      <c r="G48" s="204">
        <v>3050</v>
      </c>
      <c r="H48" s="204">
        <v>2314</v>
      </c>
      <c r="I48" s="204">
        <v>150</v>
      </c>
      <c r="J48" s="204">
        <v>13000</v>
      </c>
      <c r="K48" s="204">
        <v>10450</v>
      </c>
      <c r="L48" s="204">
        <v>5500</v>
      </c>
      <c r="M48" s="204">
        <f t="shared" si="0"/>
        <v>52624</v>
      </c>
    </row>
    <row r="49" spans="2:13" ht="18" customHeight="1" x14ac:dyDescent="0.25">
      <c r="B49" s="891"/>
      <c r="C49" s="205" t="s">
        <v>297</v>
      </c>
      <c r="D49" s="196">
        <f t="shared" ref="D49:L49" si="1">SUM(D6:D48)</f>
        <v>101400</v>
      </c>
      <c r="E49" s="196">
        <f t="shared" si="1"/>
        <v>65000</v>
      </c>
      <c r="F49" s="196">
        <f t="shared" si="1"/>
        <v>560000</v>
      </c>
      <c r="G49" s="196">
        <f t="shared" si="1"/>
        <v>122000</v>
      </c>
      <c r="H49" s="196">
        <f t="shared" si="1"/>
        <v>92560</v>
      </c>
      <c r="I49" s="196">
        <f t="shared" si="1"/>
        <v>6000</v>
      </c>
      <c r="J49" s="196">
        <f t="shared" si="1"/>
        <v>520000</v>
      </c>
      <c r="K49" s="196">
        <f t="shared" si="1"/>
        <v>418000</v>
      </c>
      <c r="L49" s="196">
        <f t="shared" si="1"/>
        <v>220000</v>
      </c>
      <c r="M49" s="196">
        <f>SUM(D49:L49)</f>
        <v>2104960</v>
      </c>
    </row>
    <row r="50" spans="2:13" ht="18" customHeight="1" x14ac:dyDescent="0.25">
      <c r="B50" s="891"/>
      <c r="C50" s="207" t="s">
        <v>282</v>
      </c>
      <c r="D50" s="196">
        <f t="shared" ref="D50:L50" si="2">D49*16%</f>
        <v>16224</v>
      </c>
      <c r="E50" s="196">
        <f t="shared" si="2"/>
        <v>10400</v>
      </c>
      <c r="F50" s="196">
        <f t="shared" si="2"/>
        <v>89600</v>
      </c>
      <c r="G50" s="196">
        <f t="shared" si="2"/>
        <v>19520</v>
      </c>
      <c r="H50" s="196">
        <f t="shared" si="2"/>
        <v>14809.6</v>
      </c>
      <c r="I50" s="196">
        <f t="shared" si="2"/>
        <v>960</v>
      </c>
      <c r="J50" s="196">
        <f t="shared" si="2"/>
        <v>83200</v>
      </c>
      <c r="K50" s="196">
        <f t="shared" si="2"/>
        <v>66880</v>
      </c>
      <c r="L50" s="196">
        <f t="shared" si="2"/>
        <v>35200</v>
      </c>
      <c r="M50" s="196">
        <f>SUM(D50:L50)</f>
        <v>336793.59999999998</v>
      </c>
    </row>
    <row r="51" spans="2:13" ht="18" customHeight="1" x14ac:dyDescent="0.25">
      <c r="B51" s="892"/>
      <c r="C51" s="207" t="s">
        <v>298</v>
      </c>
      <c r="D51" s="196">
        <f t="shared" ref="D51:L51" si="3">D49+D50</f>
        <v>117624</v>
      </c>
      <c r="E51" s="196">
        <f t="shared" si="3"/>
        <v>75400</v>
      </c>
      <c r="F51" s="196">
        <f t="shared" si="3"/>
        <v>649600</v>
      </c>
      <c r="G51" s="196">
        <f t="shared" si="3"/>
        <v>141520</v>
      </c>
      <c r="H51" s="196">
        <f t="shared" si="3"/>
        <v>107369.60000000001</v>
      </c>
      <c r="I51" s="196">
        <f t="shared" si="3"/>
        <v>6960</v>
      </c>
      <c r="J51" s="196">
        <f t="shared" si="3"/>
        <v>603200</v>
      </c>
      <c r="K51" s="196">
        <f t="shared" si="3"/>
        <v>484880</v>
      </c>
      <c r="L51" s="196">
        <f t="shared" si="3"/>
        <v>255200</v>
      </c>
      <c r="M51" s="196">
        <f>SUM(D51:L51)</f>
        <v>2441753.6000000001</v>
      </c>
    </row>
  </sheetData>
  <mergeCells count="3">
    <mergeCell ref="B3:M3"/>
    <mergeCell ref="B4:M4"/>
    <mergeCell ref="B49:B51"/>
  </mergeCells>
  <pageMargins left="0.7" right="0.7" top="0.75" bottom="0.75" header="0.3" footer="0.3"/>
  <pageSetup paperSize="5" scale="9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M50"/>
  <sheetViews>
    <sheetView showWhiteSpace="0" view="pageLayout" zoomScaleNormal="100" workbookViewId="0">
      <selection activeCell="F6" sqref="F6"/>
    </sheetView>
  </sheetViews>
  <sheetFormatPr baseColWidth="10" defaultRowHeight="15" x14ac:dyDescent="0.25"/>
  <cols>
    <col min="1" max="1" width="11.42578125" style="113"/>
    <col min="2" max="2" width="5.28515625" style="113" customWidth="1"/>
    <col min="3" max="3" width="22.85546875" style="113" customWidth="1"/>
    <col min="4" max="12" width="11.42578125" style="113"/>
    <col min="13" max="13" width="13.42578125" style="113" customWidth="1"/>
    <col min="14" max="16384" width="11.42578125" style="113"/>
  </cols>
  <sheetData>
    <row r="3" spans="2:13" x14ac:dyDescent="0.25">
      <c r="B3" s="890" t="s">
        <v>286</v>
      </c>
      <c r="C3" s="890"/>
      <c r="D3" s="890"/>
      <c r="E3" s="890"/>
      <c r="F3" s="890"/>
      <c r="G3" s="890"/>
      <c r="H3" s="890"/>
      <c r="I3" s="890"/>
      <c r="J3" s="890"/>
      <c r="K3" s="890"/>
      <c r="L3" s="890"/>
      <c r="M3" s="890"/>
    </row>
    <row r="4" spans="2:13" x14ac:dyDescent="0.25">
      <c r="B4" s="868" t="s">
        <v>1859</v>
      </c>
      <c r="C4" s="869"/>
      <c r="D4" s="869"/>
      <c r="E4" s="869"/>
      <c r="F4" s="869"/>
      <c r="G4" s="869"/>
      <c r="H4" s="869"/>
      <c r="I4" s="869"/>
      <c r="J4" s="869"/>
      <c r="K4" s="869"/>
      <c r="L4" s="869"/>
      <c r="M4" s="870"/>
    </row>
    <row r="5" spans="2:13" ht="93" customHeight="1" x14ac:dyDescent="0.25">
      <c r="B5" s="408" t="s">
        <v>233</v>
      </c>
      <c r="C5" s="408" t="s">
        <v>287</v>
      </c>
      <c r="D5" s="405" t="s">
        <v>1867</v>
      </c>
      <c r="E5" s="409" t="s">
        <v>1868</v>
      </c>
      <c r="F5" s="409" t="s">
        <v>1880</v>
      </c>
      <c r="G5" s="405" t="s">
        <v>1869</v>
      </c>
      <c r="H5" s="405" t="s">
        <v>1870</v>
      </c>
      <c r="I5" s="409" t="s">
        <v>1871</v>
      </c>
      <c r="J5" s="409" t="s">
        <v>1872</v>
      </c>
      <c r="K5" s="409" t="s">
        <v>1873</v>
      </c>
      <c r="L5" s="409" t="s">
        <v>1874</v>
      </c>
      <c r="M5" s="408" t="s">
        <v>295</v>
      </c>
    </row>
    <row r="6" spans="2:13" ht="18" customHeight="1" x14ac:dyDescent="0.25">
      <c r="B6" s="380">
        <v>1</v>
      </c>
      <c r="C6" s="147" t="s">
        <v>241</v>
      </c>
      <c r="D6" s="186">
        <v>725</v>
      </c>
      <c r="E6" s="186">
        <v>2600</v>
      </c>
      <c r="F6" s="407">
        <v>48100</v>
      </c>
      <c r="G6" s="204">
        <v>780</v>
      </c>
      <c r="H6" s="204">
        <v>1500</v>
      </c>
      <c r="I6" s="204">
        <v>6000</v>
      </c>
      <c r="J6" s="204">
        <v>21190</v>
      </c>
      <c r="K6" s="204">
        <v>13000</v>
      </c>
      <c r="L6" s="204">
        <v>2600</v>
      </c>
      <c r="M6" s="204">
        <f>SUM(D6:L6)</f>
        <v>96495</v>
      </c>
    </row>
    <row r="7" spans="2:13" ht="18" customHeight="1" x14ac:dyDescent="0.25">
      <c r="B7" s="380">
        <v>2</v>
      </c>
      <c r="C7" s="147" t="s">
        <v>242</v>
      </c>
      <c r="D7" s="186">
        <v>725</v>
      </c>
      <c r="E7" s="186">
        <v>2600</v>
      </c>
      <c r="F7" s="407">
        <v>48100</v>
      </c>
      <c r="G7" s="204">
        <v>780</v>
      </c>
      <c r="H7" s="204">
        <v>1500</v>
      </c>
      <c r="I7" s="204">
        <v>6000</v>
      </c>
      <c r="J7" s="204">
        <v>21190</v>
      </c>
      <c r="K7" s="204">
        <v>13000</v>
      </c>
      <c r="L7" s="204">
        <v>2600</v>
      </c>
      <c r="M7" s="204">
        <f t="shared" ref="M7:M47" si="0">SUM(D7:L7)</f>
        <v>96495</v>
      </c>
    </row>
    <row r="8" spans="2:13" ht="18" customHeight="1" x14ac:dyDescent="0.25">
      <c r="B8" s="380">
        <v>3</v>
      </c>
      <c r="C8" s="147" t="s">
        <v>243</v>
      </c>
      <c r="D8" s="186">
        <v>725</v>
      </c>
      <c r="E8" s="186">
        <v>2600</v>
      </c>
      <c r="F8" s="407">
        <v>48100</v>
      </c>
      <c r="G8" s="204">
        <v>780</v>
      </c>
      <c r="H8" s="204">
        <v>1500</v>
      </c>
      <c r="I8" s="204">
        <v>6000</v>
      </c>
      <c r="J8" s="204">
        <v>21190</v>
      </c>
      <c r="K8" s="204">
        <v>13000</v>
      </c>
      <c r="L8" s="204">
        <v>2600</v>
      </c>
      <c r="M8" s="204">
        <f t="shared" si="0"/>
        <v>96495</v>
      </c>
    </row>
    <row r="9" spans="2:13" ht="18" customHeight="1" x14ac:dyDescent="0.25">
      <c r="B9" s="380">
        <v>4</v>
      </c>
      <c r="C9" s="147" t="s">
        <v>244</v>
      </c>
      <c r="D9" s="186">
        <v>725</v>
      </c>
      <c r="E9" s="186">
        <v>2600</v>
      </c>
      <c r="F9" s="407">
        <v>48100</v>
      </c>
      <c r="G9" s="204">
        <v>780</v>
      </c>
      <c r="H9" s="204">
        <v>1500</v>
      </c>
      <c r="I9" s="204">
        <v>6000</v>
      </c>
      <c r="J9" s="204">
        <v>21190</v>
      </c>
      <c r="K9" s="204">
        <v>13000</v>
      </c>
      <c r="L9" s="204">
        <v>2600</v>
      </c>
      <c r="M9" s="204">
        <f t="shared" si="0"/>
        <v>96495</v>
      </c>
    </row>
    <row r="10" spans="2:13" ht="18" customHeight="1" x14ac:dyDescent="0.25">
      <c r="B10" s="380">
        <v>5</v>
      </c>
      <c r="C10" s="147" t="s">
        <v>245</v>
      </c>
      <c r="D10" s="186">
        <v>725</v>
      </c>
      <c r="E10" s="186">
        <v>2600</v>
      </c>
      <c r="F10" s="407">
        <v>48100</v>
      </c>
      <c r="G10" s="204">
        <v>780</v>
      </c>
      <c r="H10" s="204">
        <v>1500</v>
      </c>
      <c r="I10" s="204">
        <v>6000</v>
      </c>
      <c r="J10" s="204">
        <v>21190</v>
      </c>
      <c r="K10" s="204">
        <v>13000</v>
      </c>
      <c r="L10" s="204">
        <v>2600</v>
      </c>
      <c r="M10" s="204">
        <f t="shared" si="0"/>
        <v>96495</v>
      </c>
    </row>
    <row r="11" spans="2:13" ht="18" customHeight="1" x14ac:dyDescent="0.25">
      <c r="B11" s="380">
        <v>6</v>
      </c>
      <c r="C11" s="147" t="s">
        <v>246</v>
      </c>
      <c r="D11" s="186">
        <v>725</v>
      </c>
      <c r="E11" s="186">
        <v>2600</v>
      </c>
      <c r="F11" s="407">
        <v>48100</v>
      </c>
      <c r="G11" s="204">
        <v>780</v>
      </c>
      <c r="H11" s="204">
        <v>1500</v>
      </c>
      <c r="I11" s="204">
        <v>6000</v>
      </c>
      <c r="J11" s="204">
        <v>21190</v>
      </c>
      <c r="K11" s="204">
        <v>13000</v>
      </c>
      <c r="L11" s="204">
        <v>2600</v>
      </c>
      <c r="M11" s="204">
        <f t="shared" si="0"/>
        <v>96495</v>
      </c>
    </row>
    <row r="12" spans="2:13" ht="18" customHeight="1" x14ac:dyDescent="0.25">
      <c r="B12" s="380">
        <v>7</v>
      </c>
      <c r="C12" s="147" t="s">
        <v>247</v>
      </c>
      <c r="D12" s="186">
        <v>725</v>
      </c>
      <c r="E12" s="186">
        <v>2600</v>
      </c>
      <c r="F12" s="407">
        <v>48100</v>
      </c>
      <c r="G12" s="204">
        <v>780</v>
      </c>
      <c r="H12" s="204">
        <v>1500</v>
      </c>
      <c r="I12" s="204">
        <v>6000</v>
      </c>
      <c r="J12" s="204">
        <v>21190</v>
      </c>
      <c r="K12" s="204">
        <v>13000</v>
      </c>
      <c r="L12" s="204">
        <v>2600</v>
      </c>
      <c r="M12" s="204">
        <f t="shared" si="0"/>
        <v>96495</v>
      </c>
    </row>
    <row r="13" spans="2:13" ht="18" customHeight="1" x14ac:dyDescent="0.25">
      <c r="B13" s="380">
        <v>8</v>
      </c>
      <c r="C13" s="147" t="s">
        <v>248</v>
      </c>
      <c r="D13" s="186">
        <v>725</v>
      </c>
      <c r="E13" s="186">
        <v>2600</v>
      </c>
      <c r="F13" s="407">
        <v>48100</v>
      </c>
      <c r="G13" s="204">
        <v>780</v>
      </c>
      <c r="H13" s="204">
        <v>1500</v>
      </c>
      <c r="I13" s="204">
        <v>6000</v>
      </c>
      <c r="J13" s="204">
        <v>21190</v>
      </c>
      <c r="K13" s="204">
        <v>13000</v>
      </c>
      <c r="L13" s="204">
        <v>2600</v>
      </c>
      <c r="M13" s="204">
        <f t="shared" si="0"/>
        <v>96495</v>
      </c>
    </row>
    <row r="14" spans="2:13" ht="18" customHeight="1" x14ac:dyDescent="0.25">
      <c r="B14" s="380">
        <v>9</v>
      </c>
      <c r="C14" s="147" t="s">
        <v>249</v>
      </c>
      <c r="D14" s="186">
        <v>725</v>
      </c>
      <c r="E14" s="186">
        <v>2600</v>
      </c>
      <c r="F14" s="407">
        <v>48100</v>
      </c>
      <c r="G14" s="204">
        <v>780</v>
      </c>
      <c r="H14" s="204">
        <v>1500</v>
      </c>
      <c r="I14" s="204">
        <v>6000</v>
      </c>
      <c r="J14" s="204">
        <v>21190</v>
      </c>
      <c r="K14" s="204">
        <v>13000</v>
      </c>
      <c r="L14" s="204">
        <v>2600</v>
      </c>
      <c r="M14" s="204">
        <f t="shared" si="0"/>
        <v>96495</v>
      </c>
    </row>
    <row r="15" spans="2:13" ht="18" customHeight="1" x14ac:dyDescent="0.25">
      <c r="B15" s="380">
        <v>10</v>
      </c>
      <c r="C15" s="147" t="s">
        <v>250</v>
      </c>
      <c r="D15" s="186">
        <v>725</v>
      </c>
      <c r="E15" s="186">
        <v>2600</v>
      </c>
      <c r="F15" s="407">
        <v>48100</v>
      </c>
      <c r="G15" s="204">
        <v>780</v>
      </c>
      <c r="H15" s="204">
        <v>1500</v>
      </c>
      <c r="I15" s="204">
        <v>6000</v>
      </c>
      <c r="J15" s="204">
        <v>21190</v>
      </c>
      <c r="K15" s="204">
        <v>13000</v>
      </c>
      <c r="L15" s="204">
        <v>2600</v>
      </c>
      <c r="M15" s="204">
        <f t="shared" si="0"/>
        <v>96495</v>
      </c>
    </row>
    <row r="16" spans="2:13" ht="18" customHeight="1" x14ac:dyDescent="0.25">
      <c r="B16" s="380">
        <v>11</v>
      </c>
      <c r="C16" s="147" t="s">
        <v>251</v>
      </c>
      <c r="D16" s="186">
        <v>725</v>
      </c>
      <c r="E16" s="186">
        <v>2600</v>
      </c>
      <c r="F16" s="407">
        <v>48100</v>
      </c>
      <c r="G16" s="204">
        <v>780</v>
      </c>
      <c r="H16" s="204">
        <v>1500</v>
      </c>
      <c r="I16" s="204">
        <v>6000</v>
      </c>
      <c r="J16" s="204">
        <v>21190</v>
      </c>
      <c r="K16" s="204">
        <v>13000</v>
      </c>
      <c r="L16" s="204">
        <v>2600</v>
      </c>
      <c r="M16" s="204">
        <f t="shared" si="0"/>
        <v>96495</v>
      </c>
    </row>
    <row r="17" spans="2:13" ht="18" customHeight="1" x14ac:dyDescent="0.25">
      <c r="B17" s="380">
        <v>12</v>
      </c>
      <c r="C17" s="147" t="s">
        <v>252</v>
      </c>
      <c r="D17" s="186">
        <v>725</v>
      </c>
      <c r="E17" s="186">
        <v>2600</v>
      </c>
      <c r="F17" s="407">
        <v>48100</v>
      </c>
      <c r="G17" s="204">
        <v>780</v>
      </c>
      <c r="H17" s="204">
        <v>1500</v>
      </c>
      <c r="I17" s="204">
        <v>6000</v>
      </c>
      <c r="J17" s="204">
        <v>21190</v>
      </c>
      <c r="K17" s="204">
        <v>13000</v>
      </c>
      <c r="L17" s="204">
        <v>2600</v>
      </c>
      <c r="M17" s="204">
        <f t="shared" si="0"/>
        <v>96495</v>
      </c>
    </row>
    <row r="18" spans="2:13" ht="18" customHeight="1" x14ac:dyDescent="0.25">
      <c r="B18" s="380">
        <v>13</v>
      </c>
      <c r="C18" s="147" t="s">
        <v>253</v>
      </c>
      <c r="D18" s="186">
        <v>725</v>
      </c>
      <c r="E18" s="186">
        <v>2600</v>
      </c>
      <c r="F18" s="407">
        <v>48100</v>
      </c>
      <c r="G18" s="204">
        <v>780</v>
      </c>
      <c r="H18" s="204">
        <v>1500</v>
      </c>
      <c r="I18" s="204">
        <v>6000</v>
      </c>
      <c r="J18" s="204">
        <v>21190</v>
      </c>
      <c r="K18" s="204">
        <v>13000</v>
      </c>
      <c r="L18" s="204">
        <v>2600</v>
      </c>
      <c r="M18" s="204">
        <f t="shared" si="0"/>
        <v>96495</v>
      </c>
    </row>
    <row r="19" spans="2:13" ht="18" customHeight="1" x14ac:dyDescent="0.25">
      <c r="B19" s="380">
        <v>14</v>
      </c>
      <c r="C19" s="147" t="s">
        <v>254</v>
      </c>
      <c r="D19" s="186">
        <v>725</v>
      </c>
      <c r="E19" s="186">
        <v>2600</v>
      </c>
      <c r="F19" s="407">
        <v>48100</v>
      </c>
      <c r="G19" s="204">
        <v>780</v>
      </c>
      <c r="H19" s="204">
        <v>1500</v>
      </c>
      <c r="I19" s="204">
        <v>6000</v>
      </c>
      <c r="J19" s="204">
        <v>21190</v>
      </c>
      <c r="K19" s="204">
        <v>13000</v>
      </c>
      <c r="L19" s="204">
        <v>2600</v>
      </c>
      <c r="M19" s="204">
        <f t="shared" si="0"/>
        <v>96495</v>
      </c>
    </row>
    <row r="20" spans="2:13" ht="18" customHeight="1" x14ac:dyDescent="0.25">
      <c r="B20" s="380">
        <v>15</v>
      </c>
      <c r="C20" s="147" t="s">
        <v>255</v>
      </c>
      <c r="D20" s="186">
        <v>725</v>
      </c>
      <c r="E20" s="186">
        <v>2600</v>
      </c>
      <c r="F20" s="407">
        <v>48100</v>
      </c>
      <c r="G20" s="204">
        <v>780</v>
      </c>
      <c r="H20" s="204">
        <v>1500</v>
      </c>
      <c r="I20" s="204">
        <v>6000</v>
      </c>
      <c r="J20" s="204">
        <v>21190</v>
      </c>
      <c r="K20" s="204">
        <v>13000</v>
      </c>
      <c r="L20" s="204">
        <v>2600</v>
      </c>
      <c r="M20" s="204">
        <f t="shared" si="0"/>
        <v>96495</v>
      </c>
    </row>
    <row r="21" spans="2:13" ht="18" customHeight="1" x14ac:dyDescent="0.25">
      <c r="B21" s="380">
        <v>16</v>
      </c>
      <c r="C21" s="147" t="s">
        <v>256</v>
      </c>
      <c r="D21" s="186">
        <v>725</v>
      </c>
      <c r="E21" s="186">
        <v>2600</v>
      </c>
      <c r="F21" s="407">
        <v>48100</v>
      </c>
      <c r="G21" s="204">
        <v>780</v>
      </c>
      <c r="H21" s="204">
        <v>1500</v>
      </c>
      <c r="I21" s="204">
        <v>6000</v>
      </c>
      <c r="J21" s="204">
        <v>21190</v>
      </c>
      <c r="K21" s="204">
        <v>13000</v>
      </c>
      <c r="L21" s="204">
        <v>2600</v>
      </c>
      <c r="M21" s="204">
        <f t="shared" si="0"/>
        <v>96495</v>
      </c>
    </row>
    <row r="22" spans="2:13" ht="18" customHeight="1" x14ac:dyDescent="0.25">
      <c r="B22" s="380">
        <v>17</v>
      </c>
      <c r="C22" s="147" t="s">
        <v>257</v>
      </c>
      <c r="D22" s="186">
        <v>725</v>
      </c>
      <c r="E22" s="186">
        <v>2600</v>
      </c>
      <c r="F22" s="407">
        <v>48100</v>
      </c>
      <c r="G22" s="204">
        <v>780</v>
      </c>
      <c r="H22" s="204">
        <v>1500</v>
      </c>
      <c r="I22" s="204">
        <v>6000</v>
      </c>
      <c r="J22" s="204">
        <v>21190</v>
      </c>
      <c r="K22" s="204">
        <v>13000</v>
      </c>
      <c r="L22" s="204">
        <v>2600</v>
      </c>
      <c r="M22" s="204">
        <f t="shared" si="0"/>
        <v>96495</v>
      </c>
    </row>
    <row r="23" spans="2:13" ht="18" customHeight="1" x14ac:dyDescent="0.25">
      <c r="B23" s="380">
        <v>18</v>
      </c>
      <c r="C23" s="147" t="s">
        <v>258</v>
      </c>
      <c r="D23" s="186">
        <v>725</v>
      </c>
      <c r="E23" s="186">
        <v>2600</v>
      </c>
      <c r="F23" s="407">
        <v>48100</v>
      </c>
      <c r="G23" s="204">
        <v>780</v>
      </c>
      <c r="H23" s="204">
        <v>1500</v>
      </c>
      <c r="I23" s="204">
        <v>6000</v>
      </c>
      <c r="J23" s="204">
        <v>21190</v>
      </c>
      <c r="K23" s="204">
        <v>13000</v>
      </c>
      <c r="L23" s="204">
        <v>2600</v>
      </c>
      <c r="M23" s="204">
        <f t="shared" si="0"/>
        <v>96495</v>
      </c>
    </row>
    <row r="24" spans="2:13" ht="18" customHeight="1" x14ac:dyDescent="0.25">
      <c r="B24" s="380">
        <v>19</v>
      </c>
      <c r="C24" s="147" t="s">
        <v>259</v>
      </c>
      <c r="D24" s="186">
        <v>725</v>
      </c>
      <c r="E24" s="186">
        <v>2600</v>
      </c>
      <c r="F24" s="407">
        <v>48100</v>
      </c>
      <c r="G24" s="204">
        <v>780</v>
      </c>
      <c r="H24" s="204">
        <v>1500</v>
      </c>
      <c r="I24" s="204">
        <v>6000</v>
      </c>
      <c r="J24" s="204">
        <v>21190</v>
      </c>
      <c r="K24" s="204">
        <v>13000</v>
      </c>
      <c r="L24" s="204">
        <v>2600</v>
      </c>
      <c r="M24" s="204">
        <f t="shared" si="0"/>
        <v>96495</v>
      </c>
    </row>
    <row r="25" spans="2:13" ht="18" customHeight="1" x14ac:dyDescent="0.25">
      <c r="B25" s="365">
        <v>20</v>
      </c>
      <c r="C25" s="412" t="s">
        <v>260</v>
      </c>
      <c r="D25" s="415">
        <v>725</v>
      </c>
      <c r="E25" s="415">
        <v>2600</v>
      </c>
      <c r="F25" s="430">
        <v>48100</v>
      </c>
      <c r="G25" s="413">
        <v>780</v>
      </c>
      <c r="H25" s="413">
        <v>1500</v>
      </c>
      <c r="I25" s="413">
        <v>6000</v>
      </c>
      <c r="J25" s="413">
        <v>21190</v>
      </c>
      <c r="K25" s="413">
        <v>13000</v>
      </c>
      <c r="L25" s="413">
        <v>2600</v>
      </c>
      <c r="M25" s="413">
        <f t="shared" si="0"/>
        <v>96495</v>
      </c>
    </row>
    <row r="26" spans="2:13" ht="18" customHeight="1" x14ac:dyDescent="0.25">
      <c r="B26" s="365">
        <v>21</v>
      </c>
      <c r="C26" s="412" t="s">
        <v>261</v>
      </c>
      <c r="D26" s="415">
        <v>725</v>
      </c>
      <c r="E26" s="415">
        <v>2600</v>
      </c>
      <c r="F26" s="430">
        <v>48100</v>
      </c>
      <c r="G26" s="413">
        <v>780</v>
      </c>
      <c r="H26" s="413">
        <v>1500</v>
      </c>
      <c r="I26" s="413">
        <v>6000</v>
      </c>
      <c r="J26" s="413">
        <v>21190</v>
      </c>
      <c r="K26" s="413">
        <v>13000</v>
      </c>
      <c r="L26" s="413">
        <v>2600</v>
      </c>
      <c r="M26" s="413">
        <f t="shared" si="0"/>
        <v>96495</v>
      </c>
    </row>
    <row r="27" spans="2:13" ht="18" customHeight="1" x14ac:dyDescent="0.25">
      <c r="B27" s="427">
        <v>22</v>
      </c>
      <c r="C27" s="147" t="s">
        <v>262</v>
      </c>
      <c r="D27" s="186">
        <v>725</v>
      </c>
      <c r="E27" s="186">
        <v>2600</v>
      </c>
      <c r="F27" s="407">
        <v>48100</v>
      </c>
      <c r="G27" s="204">
        <v>780</v>
      </c>
      <c r="H27" s="204">
        <v>1500</v>
      </c>
      <c r="I27" s="204">
        <v>6000</v>
      </c>
      <c r="J27" s="204">
        <v>21190</v>
      </c>
      <c r="K27" s="204">
        <v>13000</v>
      </c>
      <c r="L27" s="204">
        <v>2600</v>
      </c>
      <c r="M27" s="204">
        <f t="shared" si="0"/>
        <v>96495</v>
      </c>
    </row>
    <row r="28" spans="2:13" s="3" customFormat="1" ht="18" customHeight="1" x14ac:dyDescent="0.25">
      <c r="B28" s="428"/>
      <c r="C28" s="418"/>
      <c r="D28" s="406"/>
      <c r="E28" s="406"/>
      <c r="F28" s="431"/>
      <c r="G28" s="403"/>
      <c r="H28" s="403"/>
      <c r="I28" s="403"/>
      <c r="J28" s="403"/>
      <c r="K28" s="403"/>
      <c r="L28" s="403"/>
      <c r="M28" s="403"/>
    </row>
    <row r="29" spans="2:13" ht="18" customHeight="1" x14ac:dyDescent="0.25">
      <c r="B29" s="419"/>
      <c r="C29" s="420"/>
      <c r="D29" s="421"/>
      <c r="E29" s="421"/>
      <c r="F29" s="432"/>
      <c r="G29" s="344"/>
      <c r="H29" s="344"/>
      <c r="I29" s="344"/>
      <c r="J29" s="344"/>
      <c r="K29" s="344"/>
      <c r="L29" s="344"/>
      <c r="M29" s="344"/>
    </row>
    <row r="30" spans="2:13" ht="18" customHeight="1" x14ac:dyDescent="0.25">
      <c r="B30" s="487">
        <v>23</v>
      </c>
      <c r="C30" s="488" t="s">
        <v>263</v>
      </c>
      <c r="D30" s="489">
        <v>725</v>
      </c>
      <c r="E30" s="489">
        <v>2600</v>
      </c>
      <c r="F30" s="490">
        <v>48100</v>
      </c>
      <c r="G30" s="491">
        <v>780</v>
      </c>
      <c r="H30" s="491">
        <v>1500</v>
      </c>
      <c r="I30" s="491">
        <v>6000</v>
      </c>
      <c r="J30" s="491">
        <v>21190</v>
      </c>
      <c r="K30" s="491">
        <v>13000</v>
      </c>
      <c r="L30" s="491">
        <v>2600</v>
      </c>
      <c r="M30" s="491">
        <f t="shared" si="0"/>
        <v>96495</v>
      </c>
    </row>
    <row r="31" spans="2:13" ht="18" customHeight="1" x14ac:dyDescent="0.25">
      <c r="B31" s="380">
        <v>24</v>
      </c>
      <c r="C31" s="147" t="s">
        <v>264</v>
      </c>
      <c r="D31" s="186">
        <v>725</v>
      </c>
      <c r="E31" s="186">
        <v>2600</v>
      </c>
      <c r="F31" s="407">
        <v>48100</v>
      </c>
      <c r="G31" s="204">
        <v>780</v>
      </c>
      <c r="H31" s="204">
        <v>1500</v>
      </c>
      <c r="I31" s="204">
        <v>6000</v>
      </c>
      <c r="J31" s="204">
        <v>21190</v>
      </c>
      <c r="K31" s="204">
        <v>13000</v>
      </c>
      <c r="L31" s="204">
        <v>2600</v>
      </c>
      <c r="M31" s="204">
        <f t="shared" si="0"/>
        <v>96495</v>
      </c>
    </row>
    <row r="32" spans="2:13" ht="18" customHeight="1" x14ac:dyDescent="0.25">
      <c r="B32" s="380">
        <v>25</v>
      </c>
      <c r="C32" s="147" t="s">
        <v>265</v>
      </c>
      <c r="D32" s="186">
        <v>725</v>
      </c>
      <c r="E32" s="186">
        <v>2600</v>
      </c>
      <c r="F32" s="407">
        <v>48100</v>
      </c>
      <c r="G32" s="204">
        <v>780</v>
      </c>
      <c r="H32" s="204">
        <v>1500</v>
      </c>
      <c r="I32" s="204">
        <v>6000</v>
      </c>
      <c r="J32" s="204">
        <v>21190</v>
      </c>
      <c r="K32" s="204">
        <v>13000</v>
      </c>
      <c r="L32" s="204">
        <v>2600</v>
      </c>
      <c r="M32" s="204">
        <f t="shared" si="0"/>
        <v>96495</v>
      </c>
    </row>
    <row r="33" spans="2:13" ht="18" customHeight="1" x14ac:dyDescent="0.25">
      <c r="B33" s="380">
        <v>26</v>
      </c>
      <c r="C33" s="147" t="s">
        <v>266</v>
      </c>
      <c r="D33" s="186">
        <v>725</v>
      </c>
      <c r="E33" s="186">
        <v>2600</v>
      </c>
      <c r="F33" s="407">
        <v>48100</v>
      </c>
      <c r="G33" s="204">
        <v>780</v>
      </c>
      <c r="H33" s="204">
        <v>1500</v>
      </c>
      <c r="I33" s="204">
        <v>6000</v>
      </c>
      <c r="J33" s="204">
        <v>21190</v>
      </c>
      <c r="K33" s="204">
        <v>13000</v>
      </c>
      <c r="L33" s="204">
        <v>2600</v>
      </c>
      <c r="M33" s="204">
        <f t="shared" si="0"/>
        <v>96495</v>
      </c>
    </row>
    <row r="34" spans="2:13" ht="18" customHeight="1" x14ac:dyDescent="0.25">
      <c r="B34" s="380">
        <v>27</v>
      </c>
      <c r="C34" s="147" t="s">
        <v>267</v>
      </c>
      <c r="D34" s="186">
        <v>725</v>
      </c>
      <c r="E34" s="186">
        <v>2600</v>
      </c>
      <c r="F34" s="407">
        <v>48100</v>
      </c>
      <c r="G34" s="204">
        <v>780</v>
      </c>
      <c r="H34" s="204">
        <v>1500</v>
      </c>
      <c r="I34" s="204">
        <v>6000</v>
      </c>
      <c r="J34" s="204">
        <v>21190</v>
      </c>
      <c r="K34" s="204">
        <v>13000</v>
      </c>
      <c r="L34" s="204">
        <v>2600</v>
      </c>
      <c r="M34" s="204">
        <f t="shared" si="0"/>
        <v>96495</v>
      </c>
    </row>
    <row r="35" spans="2:13" ht="18" customHeight="1" x14ac:dyDescent="0.25">
      <c r="B35" s="380">
        <v>28</v>
      </c>
      <c r="C35" s="147" t="s">
        <v>268</v>
      </c>
      <c r="D35" s="186">
        <v>725</v>
      </c>
      <c r="E35" s="186">
        <v>2600</v>
      </c>
      <c r="F35" s="407">
        <v>48100</v>
      </c>
      <c r="G35" s="204">
        <v>780</v>
      </c>
      <c r="H35" s="204">
        <v>1500</v>
      </c>
      <c r="I35" s="204">
        <v>6000</v>
      </c>
      <c r="J35" s="204">
        <v>21190</v>
      </c>
      <c r="K35" s="204">
        <v>13000</v>
      </c>
      <c r="L35" s="204">
        <v>2600</v>
      </c>
      <c r="M35" s="204">
        <f t="shared" si="0"/>
        <v>96495</v>
      </c>
    </row>
    <row r="36" spans="2:13" ht="18" customHeight="1" x14ac:dyDescent="0.25">
      <c r="B36" s="380">
        <v>29</v>
      </c>
      <c r="C36" s="147" t="s">
        <v>269</v>
      </c>
      <c r="D36" s="186">
        <v>725</v>
      </c>
      <c r="E36" s="186">
        <v>2600</v>
      </c>
      <c r="F36" s="407">
        <v>48100</v>
      </c>
      <c r="G36" s="204">
        <v>780</v>
      </c>
      <c r="H36" s="204">
        <v>1500</v>
      </c>
      <c r="I36" s="204">
        <v>6000</v>
      </c>
      <c r="J36" s="204">
        <v>21190</v>
      </c>
      <c r="K36" s="204">
        <v>13000</v>
      </c>
      <c r="L36" s="204">
        <v>2600</v>
      </c>
      <c r="M36" s="204">
        <f t="shared" si="0"/>
        <v>96495</v>
      </c>
    </row>
    <row r="37" spans="2:13" ht="18" customHeight="1" x14ac:dyDescent="0.25">
      <c r="B37" s="380">
        <v>30</v>
      </c>
      <c r="C37" s="147" t="s">
        <v>270</v>
      </c>
      <c r="D37" s="186">
        <v>725</v>
      </c>
      <c r="E37" s="186">
        <v>2600</v>
      </c>
      <c r="F37" s="407">
        <v>48100</v>
      </c>
      <c r="G37" s="204">
        <v>780</v>
      </c>
      <c r="H37" s="204">
        <v>1500</v>
      </c>
      <c r="I37" s="204">
        <v>6000</v>
      </c>
      <c r="J37" s="204">
        <v>21190</v>
      </c>
      <c r="K37" s="204">
        <v>13000</v>
      </c>
      <c r="L37" s="204">
        <v>2600</v>
      </c>
      <c r="M37" s="204">
        <f t="shared" si="0"/>
        <v>96495</v>
      </c>
    </row>
    <row r="38" spans="2:13" ht="18" customHeight="1" x14ac:dyDescent="0.25">
      <c r="B38" s="380">
        <v>31</v>
      </c>
      <c r="C38" s="147" t="s">
        <v>271</v>
      </c>
      <c r="D38" s="186">
        <v>725</v>
      </c>
      <c r="E38" s="186">
        <v>2600</v>
      </c>
      <c r="F38" s="407">
        <v>48100</v>
      </c>
      <c r="G38" s="204">
        <v>780</v>
      </c>
      <c r="H38" s="204">
        <v>1500</v>
      </c>
      <c r="I38" s="204">
        <v>6000</v>
      </c>
      <c r="J38" s="204">
        <v>21190</v>
      </c>
      <c r="K38" s="204">
        <v>13000</v>
      </c>
      <c r="L38" s="204">
        <v>2600</v>
      </c>
      <c r="M38" s="204">
        <f t="shared" si="0"/>
        <v>96495</v>
      </c>
    </row>
    <row r="39" spans="2:13" ht="18" customHeight="1" x14ac:dyDescent="0.25">
      <c r="B39" s="380">
        <v>32</v>
      </c>
      <c r="C39" s="147" t="s">
        <v>272</v>
      </c>
      <c r="D39" s="186">
        <v>725</v>
      </c>
      <c r="E39" s="186">
        <v>2600</v>
      </c>
      <c r="F39" s="407">
        <v>48100</v>
      </c>
      <c r="G39" s="204">
        <v>780</v>
      </c>
      <c r="H39" s="204">
        <v>1500</v>
      </c>
      <c r="I39" s="204">
        <v>6000</v>
      </c>
      <c r="J39" s="204">
        <v>21190</v>
      </c>
      <c r="K39" s="204">
        <v>13000</v>
      </c>
      <c r="L39" s="204">
        <v>2600</v>
      </c>
      <c r="M39" s="204">
        <f t="shared" si="0"/>
        <v>96495</v>
      </c>
    </row>
    <row r="40" spans="2:13" ht="18" customHeight="1" x14ac:dyDescent="0.25">
      <c r="B40" s="380">
        <v>33</v>
      </c>
      <c r="C40" s="147" t="s">
        <v>273</v>
      </c>
      <c r="D40" s="186">
        <v>725</v>
      </c>
      <c r="E40" s="186">
        <v>2600</v>
      </c>
      <c r="F40" s="407">
        <v>48100</v>
      </c>
      <c r="G40" s="204">
        <v>780</v>
      </c>
      <c r="H40" s="204">
        <v>1500</v>
      </c>
      <c r="I40" s="204">
        <v>6000</v>
      </c>
      <c r="J40" s="204">
        <v>21190</v>
      </c>
      <c r="K40" s="204">
        <v>13000</v>
      </c>
      <c r="L40" s="204">
        <v>2600</v>
      </c>
      <c r="M40" s="204">
        <f t="shared" si="0"/>
        <v>96495</v>
      </c>
    </row>
    <row r="41" spans="2:13" ht="18" customHeight="1" x14ac:dyDescent="0.25">
      <c r="B41" s="380">
        <v>34</v>
      </c>
      <c r="C41" s="147" t="s">
        <v>274</v>
      </c>
      <c r="D41" s="186">
        <v>725</v>
      </c>
      <c r="E41" s="186">
        <v>2600</v>
      </c>
      <c r="F41" s="407">
        <v>48100</v>
      </c>
      <c r="G41" s="204">
        <v>780</v>
      </c>
      <c r="H41" s="204">
        <v>1500</v>
      </c>
      <c r="I41" s="204">
        <v>6000</v>
      </c>
      <c r="J41" s="204">
        <v>21190</v>
      </c>
      <c r="K41" s="204">
        <v>13000</v>
      </c>
      <c r="L41" s="204">
        <v>2600</v>
      </c>
      <c r="M41" s="204">
        <f t="shared" si="0"/>
        <v>96495</v>
      </c>
    </row>
    <row r="42" spans="2:13" ht="18" customHeight="1" x14ac:dyDescent="0.25">
      <c r="B42" s="380">
        <v>35</v>
      </c>
      <c r="C42" s="147" t="s">
        <v>275</v>
      </c>
      <c r="D42" s="186">
        <v>725</v>
      </c>
      <c r="E42" s="186">
        <v>2600</v>
      </c>
      <c r="F42" s="407">
        <v>48100</v>
      </c>
      <c r="G42" s="204">
        <v>780</v>
      </c>
      <c r="H42" s="204">
        <v>1500</v>
      </c>
      <c r="I42" s="204">
        <v>6000</v>
      </c>
      <c r="J42" s="204">
        <v>21190</v>
      </c>
      <c r="K42" s="204">
        <v>13000</v>
      </c>
      <c r="L42" s="204">
        <v>2600</v>
      </c>
      <c r="M42" s="204">
        <f t="shared" si="0"/>
        <v>96495</v>
      </c>
    </row>
    <row r="43" spans="2:13" ht="18" customHeight="1" x14ac:dyDescent="0.25">
      <c r="B43" s="380">
        <v>36</v>
      </c>
      <c r="C43" s="147" t="s">
        <v>296</v>
      </c>
      <c r="D43" s="186">
        <v>725</v>
      </c>
      <c r="E43" s="186">
        <v>2600</v>
      </c>
      <c r="F43" s="407">
        <v>48100</v>
      </c>
      <c r="G43" s="204">
        <v>780</v>
      </c>
      <c r="H43" s="204">
        <v>1500</v>
      </c>
      <c r="I43" s="204">
        <v>6000</v>
      </c>
      <c r="J43" s="204">
        <v>21190</v>
      </c>
      <c r="K43" s="204">
        <v>13000</v>
      </c>
      <c r="L43" s="204">
        <v>2600</v>
      </c>
      <c r="M43" s="204">
        <f t="shared" si="0"/>
        <v>96495</v>
      </c>
    </row>
    <row r="44" spans="2:13" ht="18" customHeight="1" x14ac:dyDescent="0.25">
      <c r="B44" s="380">
        <v>37</v>
      </c>
      <c r="C44" s="147" t="s">
        <v>277</v>
      </c>
      <c r="D44" s="186">
        <v>725</v>
      </c>
      <c r="E44" s="186">
        <v>2600</v>
      </c>
      <c r="F44" s="407">
        <v>48100</v>
      </c>
      <c r="G44" s="204">
        <v>780</v>
      </c>
      <c r="H44" s="204">
        <v>1500</v>
      </c>
      <c r="I44" s="204">
        <v>6000</v>
      </c>
      <c r="J44" s="204">
        <v>21190</v>
      </c>
      <c r="K44" s="204">
        <v>13000</v>
      </c>
      <c r="L44" s="204">
        <v>2600</v>
      </c>
      <c r="M44" s="204">
        <f t="shared" si="0"/>
        <v>96495</v>
      </c>
    </row>
    <row r="45" spans="2:13" ht="18" customHeight="1" x14ac:dyDescent="0.25">
      <c r="B45" s="380">
        <v>38</v>
      </c>
      <c r="C45" s="147" t="s">
        <v>278</v>
      </c>
      <c r="D45" s="186">
        <v>725</v>
      </c>
      <c r="E45" s="186">
        <v>2600</v>
      </c>
      <c r="F45" s="407">
        <v>48100</v>
      </c>
      <c r="G45" s="204">
        <v>780</v>
      </c>
      <c r="H45" s="204">
        <v>1500</v>
      </c>
      <c r="I45" s="204">
        <v>6000</v>
      </c>
      <c r="J45" s="204">
        <v>21190</v>
      </c>
      <c r="K45" s="204">
        <v>13000</v>
      </c>
      <c r="L45" s="204">
        <v>2600</v>
      </c>
      <c r="M45" s="204">
        <f t="shared" si="0"/>
        <v>96495</v>
      </c>
    </row>
    <row r="46" spans="2:13" ht="18" customHeight="1" x14ac:dyDescent="0.25">
      <c r="B46" s="380">
        <v>39</v>
      </c>
      <c r="C46" s="147" t="s">
        <v>279</v>
      </c>
      <c r="D46" s="186">
        <v>725</v>
      </c>
      <c r="E46" s="186">
        <v>2600</v>
      </c>
      <c r="F46" s="407">
        <v>48100</v>
      </c>
      <c r="G46" s="204">
        <v>780</v>
      </c>
      <c r="H46" s="204">
        <v>1500</v>
      </c>
      <c r="I46" s="204">
        <v>6000</v>
      </c>
      <c r="J46" s="204">
        <v>21190</v>
      </c>
      <c r="K46" s="204">
        <v>13000</v>
      </c>
      <c r="L46" s="204">
        <v>2600</v>
      </c>
      <c r="M46" s="204">
        <f t="shared" si="0"/>
        <v>96495</v>
      </c>
    </row>
    <row r="47" spans="2:13" ht="18" customHeight="1" x14ac:dyDescent="0.25">
      <c r="B47" s="380">
        <v>40</v>
      </c>
      <c r="C47" s="147" t="s">
        <v>1858</v>
      </c>
      <c r="D47" s="186">
        <v>725</v>
      </c>
      <c r="E47" s="186">
        <v>2600</v>
      </c>
      <c r="F47" s="407">
        <v>48100</v>
      </c>
      <c r="G47" s="204">
        <v>780</v>
      </c>
      <c r="H47" s="204">
        <v>1500</v>
      </c>
      <c r="I47" s="204">
        <v>6000</v>
      </c>
      <c r="J47" s="204">
        <v>21190</v>
      </c>
      <c r="K47" s="204">
        <v>13000</v>
      </c>
      <c r="L47" s="204">
        <v>2600</v>
      </c>
      <c r="M47" s="204">
        <f t="shared" si="0"/>
        <v>96495</v>
      </c>
    </row>
    <row r="48" spans="2:13" ht="18" customHeight="1" x14ac:dyDescent="0.25">
      <c r="B48" s="891"/>
      <c r="C48" s="205" t="s">
        <v>297</v>
      </c>
      <c r="D48" s="196">
        <f t="shared" ref="D48:L48" si="1">SUM(D6:D47)</f>
        <v>29000</v>
      </c>
      <c r="E48" s="196">
        <f t="shared" si="1"/>
        <v>104000</v>
      </c>
      <c r="F48" s="196">
        <f t="shared" si="1"/>
        <v>1924000</v>
      </c>
      <c r="G48" s="196">
        <f t="shared" si="1"/>
        <v>31200</v>
      </c>
      <c r="H48" s="196">
        <f t="shared" si="1"/>
        <v>60000</v>
      </c>
      <c r="I48" s="196">
        <f t="shared" si="1"/>
        <v>240000</v>
      </c>
      <c r="J48" s="196">
        <f t="shared" si="1"/>
        <v>847600</v>
      </c>
      <c r="K48" s="196">
        <f t="shared" si="1"/>
        <v>520000</v>
      </c>
      <c r="L48" s="196">
        <f t="shared" si="1"/>
        <v>104000</v>
      </c>
      <c r="M48" s="196">
        <f>SUM(D48:L48)</f>
        <v>3859800</v>
      </c>
    </row>
    <row r="49" spans="2:13" ht="18" customHeight="1" x14ac:dyDescent="0.25">
      <c r="B49" s="891"/>
      <c r="C49" s="207" t="s">
        <v>282</v>
      </c>
      <c r="D49" s="196">
        <f t="shared" ref="D49:L49" si="2">D48*16%</f>
        <v>4640</v>
      </c>
      <c r="E49" s="196">
        <f t="shared" si="2"/>
        <v>16640</v>
      </c>
      <c r="F49" s="196">
        <f t="shared" si="2"/>
        <v>307840</v>
      </c>
      <c r="G49" s="196">
        <f t="shared" si="2"/>
        <v>4992</v>
      </c>
      <c r="H49" s="196">
        <f t="shared" si="2"/>
        <v>9600</v>
      </c>
      <c r="I49" s="196">
        <f t="shared" si="2"/>
        <v>38400</v>
      </c>
      <c r="J49" s="196">
        <f t="shared" si="2"/>
        <v>135616</v>
      </c>
      <c r="K49" s="196">
        <f t="shared" si="2"/>
        <v>83200</v>
      </c>
      <c r="L49" s="196">
        <f t="shared" si="2"/>
        <v>16640</v>
      </c>
      <c r="M49" s="196">
        <f>SUM(D49:L49)</f>
        <v>617568</v>
      </c>
    </row>
    <row r="50" spans="2:13" ht="18" customHeight="1" x14ac:dyDescent="0.25">
      <c r="B50" s="892"/>
      <c r="C50" s="207" t="s">
        <v>298</v>
      </c>
      <c r="D50" s="196">
        <f t="shared" ref="D50:L50" si="3">D48+D49</f>
        <v>33640</v>
      </c>
      <c r="E50" s="196">
        <f t="shared" si="3"/>
        <v>120640</v>
      </c>
      <c r="F50" s="196">
        <f t="shared" si="3"/>
        <v>2231840</v>
      </c>
      <c r="G50" s="196">
        <f t="shared" si="3"/>
        <v>36192</v>
      </c>
      <c r="H50" s="196">
        <f t="shared" si="3"/>
        <v>69600</v>
      </c>
      <c r="I50" s="196">
        <f t="shared" si="3"/>
        <v>278400</v>
      </c>
      <c r="J50" s="196">
        <f t="shared" si="3"/>
        <v>983216</v>
      </c>
      <c r="K50" s="196">
        <f t="shared" si="3"/>
        <v>603200</v>
      </c>
      <c r="L50" s="196">
        <f t="shared" si="3"/>
        <v>120640</v>
      </c>
      <c r="M50" s="196">
        <f>SUM(D50:L50)</f>
        <v>4477368</v>
      </c>
    </row>
  </sheetData>
  <mergeCells count="3">
    <mergeCell ref="B3:M3"/>
    <mergeCell ref="B4:M4"/>
    <mergeCell ref="B48:B50"/>
  </mergeCells>
  <pageMargins left="0.7" right="0.7" top="0.75" bottom="0.7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G49"/>
  <sheetViews>
    <sheetView showGridLines="0" view="pageLayout" topLeftCell="A7" zoomScaleNormal="100" workbookViewId="0">
      <selection activeCell="A19" sqref="A19:XFD21"/>
    </sheetView>
  </sheetViews>
  <sheetFormatPr baseColWidth="10" defaultRowHeight="15" x14ac:dyDescent="0.25"/>
  <cols>
    <col min="1" max="16384" width="11.42578125" style="113"/>
  </cols>
  <sheetData>
    <row r="11" spans="1:7" ht="15" customHeight="1" x14ac:dyDescent="0.25">
      <c r="A11" s="839" t="s">
        <v>1978</v>
      </c>
      <c r="B11" s="839"/>
      <c r="C11" s="839"/>
      <c r="D11" s="839"/>
      <c r="E11" s="839"/>
      <c r="F11" s="839"/>
      <c r="G11" s="839"/>
    </row>
    <row r="12" spans="1:7" ht="15" customHeight="1" x14ac:dyDescent="0.25">
      <c r="A12" s="839"/>
      <c r="B12" s="839"/>
      <c r="C12" s="839"/>
      <c r="D12" s="839"/>
      <c r="E12" s="839"/>
      <c r="F12" s="839"/>
      <c r="G12" s="839"/>
    </row>
    <row r="13" spans="1:7" x14ac:dyDescent="0.25">
      <c r="G13" s="789"/>
    </row>
    <row r="14" spans="1:7" x14ac:dyDescent="0.25">
      <c r="G14" s="789"/>
    </row>
    <row r="15" spans="1:7" ht="43.5" customHeight="1" x14ac:dyDescent="0.25">
      <c r="A15" s="840" t="s">
        <v>1979</v>
      </c>
      <c r="B15" s="840"/>
      <c r="C15" s="840"/>
      <c r="D15" s="840"/>
      <c r="E15" s="840"/>
      <c r="F15" s="840"/>
      <c r="G15" s="840"/>
    </row>
    <row r="16" spans="1:7" ht="15" customHeight="1" x14ac:dyDescent="0.25">
      <c r="A16" s="840"/>
      <c r="B16" s="840"/>
      <c r="C16" s="840"/>
      <c r="D16" s="840"/>
      <c r="E16" s="840"/>
      <c r="F16" s="840"/>
      <c r="G16" s="840"/>
    </row>
    <row r="17" spans="1:7" ht="15" customHeight="1" x14ac:dyDescent="0.25">
      <c r="A17" s="790"/>
      <c r="B17" s="790"/>
      <c r="C17" s="790"/>
      <c r="D17" s="790"/>
      <c r="E17" s="790"/>
      <c r="F17" s="790"/>
      <c r="G17" s="790"/>
    </row>
    <row r="18" spans="1:7" ht="15" customHeight="1" x14ac:dyDescent="0.25">
      <c r="A18" s="790"/>
      <c r="B18" s="790"/>
      <c r="C18" s="790"/>
      <c r="D18" s="790"/>
      <c r="E18" s="790"/>
      <c r="F18" s="790"/>
      <c r="G18" s="790"/>
    </row>
    <row r="19" spans="1:7" ht="15" customHeight="1" x14ac:dyDescent="0.25">
      <c r="A19" s="790"/>
      <c r="B19" s="790"/>
      <c r="C19" s="790"/>
      <c r="D19" s="790"/>
      <c r="E19" s="790"/>
      <c r="F19" s="790"/>
      <c r="G19" s="790"/>
    </row>
    <row r="20" spans="1:7" ht="15" customHeight="1" x14ac:dyDescent="0.25">
      <c r="A20" s="790"/>
      <c r="B20" s="790"/>
      <c r="C20" s="790"/>
      <c r="D20" s="790"/>
      <c r="E20" s="790"/>
      <c r="F20" s="790"/>
      <c r="G20" s="790"/>
    </row>
    <row r="21" spans="1:7" x14ac:dyDescent="0.25">
      <c r="G21" s="789"/>
    </row>
    <row r="22" spans="1:7" x14ac:dyDescent="0.25">
      <c r="A22" s="843"/>
      <c r="B22" s="843"/>
      <c r="C22" s="843"/>
      <c r="D22" s="843"/>
      <c r="E22" s="843"/>
      <c r="F22" s="843"/>
      <c r="G22" s="789"/>
    </row>
    <row r="23" spans="1:7" x14ac:dyDescent="0.25">
      <c r="G23" s="789"/>
    </row>
    <row r="24" spans="1:7" x14ac:dyDescent="0.25">
      <c r="G24" s="789"/>
    </row>
    <row r="25" spans="1:7" x14ac:dyDescent="0.25">
      <c r="G25" s="789"/>
    </row>
    <row r="26" spans="1:7" x14ac:dyDescent="0.25">
      <c r="G26" s="789"/>
    </row>
    <row r="27" spans="1:7" x14ac:dyDescent="0.25">
      <c r="A27" s="844"/>
      <c r="B27" s="844"/>
      <c r="C27" s="844"/>
      <c r="D27" s="844"/>
      <c r="E27" s="844"/>
      <c r="F27" s="844"/>
      <c r="G27" s="789"/>
    </row>
    <row r="28" spans="1:7" x14ac:dyDescent="0.25">
      <c r="G28" s="789"/>
    </row>
    <row r="29" spans="1:7" x14ac:dyDescent="0.25">
      <c r="G29" s="789"/>
    </row>
    <row r="30" spans="1:7" x14ac:dyDescent="0.25">
      <c r="G30" s="789"/>
    </row>
    <row r="31" spans="1:7" x14ac:dyDescent="0.25">
      <c r="G31" s="789"/>
    </row>
    <row r="32" spans="1:7" x14ac:dyDescent="0.25">
      <c r="G32" s="789"/>
    </row>
    <row r="33" spans="1:7" x14ac:dyDescent="0.25">
      <c r="G33" s="789"/>
    </row>
    <row r="34" spans="1:7" x14ac:dyDescent="0.25">
      <c r="G34" s="789"/>
    </row>
    <row r="35" spans="1:7" x14ac:dyDescent="0.25">
      <c r="G35" s="789"/>
    </row>
    <row r="36" spans="1:7" x14ac:dyDescent="0.25">
      <c r="A36" s="844"/>
      <c r="B36" s="844"/>
      <c r="C36" s="844"/>
      <c r="D36" s="844"/>
      <c r="E36" s="844"/>
      <c r="F36" s="844"/>
      <c r="G36" s="789"/>
    </row>
    <row r="37" spans="1:7" ht="76.5" customHeight="1" x14ac:dyDescent="0.25">
      <c r="A37" s="845" t="s">
        <v>1981</v>
      </c>
      <c r="B37" s="845"/>
      <c r="C37" s="845"/>
      <c r="D37" s="845"/>
      <c r="E37" s="845"/>
      <c r="F37" s="845"/>
      <c r="G37" s="845"/>
    </row>
    <row r="38" spans="1:7" x14ac:dyDescent="0.25">
      <c r="A38" s="845"/>
      <c r="B38" s="845"/>
      <c r="C38" s="845"/>
      <c r="D38" s="845"/>
      <c r="E38" s="845"/>
      <c r="F38" s="845"/>
      <c r="G38" s="845"/>
    </row>
    <row r="39" spans="1:7" x14ac:dyDescent="0.25">
      <c r="A39" s="845"/>
      <c r="B39" s="845"/>
      <c r="C39" s="845"/>
      <c r="D39" s="845"/>
      <c r="E39" s="845"/>
      <c r="F39" s="845"/>
      <c r="G39" s="845"/>
    </row>
    <row r="40" spans="1:7" x14ac:dyDescent="0.25">
      <c r="A40" s="845"/>
      <c r="B40" s="845"/>
      <c r="C40" s="845"/>
      <c r="D40" s="845"/>
      <c r="E40" s="845"/>
      <c r="F40" s="845"/>
      <c r="G40" s="845"/>
    </row>
    <row r="41" spans="1:7" x14ac:dyDescent="0.25">
      <c r="A41" s="845"/>
      <c r="B41" s="845"/>
      <c r="C41" s="845"/>
      <c r="D41" s="845"/>
      <c r="E41" s="845"/>
      <c r="F41" s="845"/>
      <c r="G41" s="845"/>
    </row>
    <row r="42" spans="1:7" ht="31.5" x14ac:dyDescent="0.25">
      <c r="A42" s="794"/>
      <c r="B42" s="794"/>
      <c r="C42" s="794"/>
      <c r="D42" s="794"/>
      <c r="E42" s="794"/>
      <c r="F42" s="794"/>
      <c r="G42" s="794"/>
    </row>
    <row r="43" spans="1:7" ht="31.5" x14ac:dyDescent="0.25">
      <c r="A43" s="842">
        <v>2015</v>
      </c>
      <c r="B43" s="842"/>
      <c r="C43" s="842"/>
      <c r="D43" s="842"/>
      <c r="E43" s="842"/>
      <c r="F43" s="842"/>
      <c r="G43" s="842"/>
    </row>
    <row r="44" spans="1:7" x14ac:dyDescent="0.25">
      <c r="A44" s="163"/>
    </row>
    <row r="45" spans="1:7" x14ac:dyDescent="0.25">
      <c r="A45" s="163"/>
    </row>
    <row r="46" spans="1:7" x14ac:dyDescent="0.25">
      <c r="A46" s="163"/>
    </row>
    <row r="47" spans="1:7" x14ac:dyDescent="0.25">
      <c r="A47" s="163"/>
    </row>
    <row r="48" spans="1:7" x14ac:dyDescent="0.25">
      <c r="A48" s="163"/>
    </row>
    <row r="49" spans="1:1" x14ac:dyDescent="0.25">
      <c r="A49" s="163"/>
    </row>
  </sheetData>
  <mergeCells count="7">
    <mergeCell ref="A43:G43"/>
    <mergeCell ref="A37:G41"/>
    <mergeCell ref="A11:G12"/>
    <mergeCell ref="A15:G16"/>
    <mergeCell ref="A22:F22"/>
    <mergeCell ref="A27:F27"/>
    <mergeCell ref="A36:F36"/>
  </mergeCells>
  <pageMargins left="0.7" right="0.7" top="0.75" bottom="0.75" header="0.3" footer="0.3"/>
  <pageSetup paperSize="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G50"/>
  <sheetViews>
    <sheetView view="pageLayout" zoomScaleNormal="100" workbookViewId="0">
      <selection activeCell="C58" sqref="C58"/>
    </sheetView>
  </sheetViews>
  <sheetFormatPr baseColWidth="10" defaultRowHeight="15" x14ac:dyDescent="0.25"/>
  <cols>
    <col min="1" max="1" width="11.42578125" style="113"/>
    <col min="2" max="2" width="4.42578125" style="113" customWidth="1"/>
    <col min="3" max="3" width="22.85546875" style="113" customWidth="1"/>
    <col min="4" max="6" width="11.42578125" style="113"/>
    <col min="7" max="7" width="13.42578125" style="113" customWidth="1"/>
    <col min="8" max="16384" width="11.42578125" style="113"/>
  </cols>
  <sheetData>
    <row r="3" spans="2:7" x14ac:dyDescent="0.25">
      <c r="B3" s="890" t="s">
        <v>286</v>
      </c>
      <c r="C3" s="890"/>
      <c r="D3" s="890"/>
      <c r="E3" s="890"/>
      <c r="F3" s="890"/>
      <c r="G3" s="890"/>
    </row>
    <row r="4" spans="2:7" x14ac:dyDescent="0.25">
      <c r="B4" s="868" t="s">
        <v>1859</v>
      </c>
      <c r="C4" s="869"/>
      <c r="D4" s="869"/>
      <c r="E4" s="869"/>
      <c r="F4" s="869"/>
      <c r="G4" s="870"/>
    </row>
    <row r="5" spans="2:7" ht="96" customHeight="1" x14ac:dyDescent="0.25">
      <c r="B5" s="480" t="s">
        <v>233</v>
      </c>
      <c r="C5" s="429" t="s">
        <v>287</v>
      </c>
      <c r="D5" s="429" t="s">
        <v>1875</v>
      </c>
      <c r="E5" s="476" t="s">
        <v>1876</v>
      </c>
      <c r="F5" s="476" t="s">
        <v>1877</v>
      </c>
      <c r="G5" s="480" t="s">
        <v>295</v>
      </c>
    </row>
    <row r="6" spans="2:7" ht="18" customHeight="1" x14ac:dyDescent="0.25">
      <c r="B6" s="427">
        <v>1</v>
      </c>
      <c r="C6" s="147" t="s">
        <v>241</v>
      </c>
      <c r="D6" s="186">
        <v>2000</v>
      </c>
      <c r="E6" s="186">
        <v>2600</v>
      </c>
      <c r="F6" s="438">
        <v>16887</v>
      </c>
      <c r="G6" s="204">
        <f t="shared" ref="G6:G47" si="0">SUM(D6:F6)</f>
        <v>21487</v>
      </c>
    </row>
    <row r="7" spans="2:7" ht="18" customHeight="1" x14ac:dyDescent="0.25">
      <c r="B7" s="427">
        <v>2</v>
      </c>
      <c r="C7" s="147" t="s">
        <v>242</v>
      </c>
      <c r="D7" s="186">
        <v>2000</v>
      </c>
      <c r="E7" s="186">
        <v>2600</v>
      </c>
      <c r="F7" s="438">
        <v>16887</v>
      </c>
      <c r="G7" s="204">
        <f t="shared" si="0"/>
        <v>21487</v>
      </c>
    </row>
    <row r="8" spans="2:7" ht="18" customHeight="1" x14ac:dyDescent="0.25">
      <c r="B8" s="427">
        <v>3</v>
      </c>
      <c r="C8" s="147" t="s">
        <v>243</v>
      </c>
      <c r="D8" s="186">
        <v>2000</v>
      </c>
      <c r="E8" s="186">
        <v>2600</v>
      </c>
      <c r="F8" s="438">
        <v>16887</v>
      </c>
      <c r="G8" s="204">
        <f t="shared" si="0"/>
        <v>21487</v>
      </c>
    </row>
    <row r="9" spans="2:7" ht="18" customHeight="1" x14ac:dyDescent="0.25">
      <c r="B9" s="427">
        <v>4</v>
      </c>
      <c r="C9" s="147" t="s">
        <v>244</v>
      </c>
      <c r="D9" s="186">
        <v>2000</v>
      </c>
      <c r="E9" s="186">
        <v>2600</v>
      </c>
      <c r="F9" s="438">
        <v>16887</v>
      </c>
      <c r="G9" s="204">
        <f t="shared" si="0"/>
        <v>21487</v>
      </c>
    </row>
    <row r="10" spans="2:7" ht="18" customHeight="1" x14ac:dyDescent="0.25">
      <c r="B10" s="427">
        <v>5</v>
      </c>
      <c r="C10" s="147" t="s">
        <v>245</v>
      </c>
      <c r="D10" s="186">
        <v>2000</v>
      </c>
      <c r="E10" s="186">
        <v>2600</v>
      </c>
      <c r="F10" s="438">
        <v>16887</v>
      </c>
      <c r="G10" s="204">
        <f t="shared" si="0"/>
        <v>21487</v>
      </c>
    </row>
    <row r="11" spans="2:7" ht="18" customHeight="1" x14ac:dyDescent="0.25">
      <c r="B11" s="427">
        <v>6</v>
      </c>
      <c r="C11" s="147" t="s">
        <v>246</v>
      </c>
      <c r="D11" s="186">
        <v>2000</v>
      </c>
      <c r="E11" s="186">
        <v>2600</v>
      </c>
      <c r="F11" s="438">
        <v>16887</v>
      </c>
      <c r="G11" s="204">
        <f t="shared" si="0"/>
        <v>21487</v>
      </c>
    </row>
    <row r="12" spans="2:7" ht="18" customHeight="1" x14ac:dyDescent="0.25">
      <c r="B12" s="427">
        <v>7</v>
      </c>
      <c r="C12" s="147" t="s">
        <v>247</v>
      </c>
      <c r="D12" s="186">
        <v>2000</v>
      </c>
      <c r="E12" s="186">
        <v>2600</v>
      </c>
      <c r="F12" s="438">
        <v>16887</v>
      </c>
      <c r="G12" s="204">
        <f t="shared" si="0"/>
        <v>21487</v>
      </c>
    </row>
    <row r="13" spans="2:7" ht="18" customHeight="1" x14ac:dyDescent="0.25">
      <c r="B13" s="427">
        <v>8</v>
      </c>
      <c r="C13" s="147" t="s">
        <v>248</v>
      </c>
      <c r="D13" s="186">
        <v>2000</v>
      </c>
      <c r="E13" s="186">
        <v>2600</v>
      </c>
      <c r="F13" s="438">
        <v>16887</v>
      </c>
      <c r="G13" s="204">
        <f t="shared" si="0"/>
        <v>21487</v>
      </c>
    </row>
    <row r="14" spans="2:7" ht="18" customHeight="1" x14ac:dyDescent="0.25">
      <c r="B14" s="427">
        <v>9</v>
      </c>
      <c r="C14" s="147" t="s">
        <v>249</v>
      </c>
      <c r="D14" s="186">
        <v>2000</v>
      </c>
      <c r="E14" s="186">
        <v>2600</v>
      </c>
      <c r="F14" s="438">
        <v>16887</v>
      </c>
      <c r="G14" s="204">
        <f t="shared" si="0"/>
        <v>21487</v>
      </c>
    </row>
    <row r="15" spans="2:7" ht="18" customHeight="1" x14ac:dyDescent="0.25">
      <c r="B15" s="427">
        <v>10</v>
      </c>
      <c r="C15" s="147" t="s">
        <v>250</v>
      </c>
      <c r="D15" s="186">
        <v>2000</v>
      </c>
      <c r="E15" s="186">
        <v>2600</v>
      </c>
      <c r="F15" s="438">
        <v>16887</v>
      </c>
      <c r="G15" s="204">
        <f t="shared" si="0"/>
        <v>21487</v>
      </c>
    </row>
    <row r="16" spans="2:7" ht="18" customHeight="1" x14ac:dyDescent="0.25">
      <c r="B16" s="427">
        <v>11</v>
      </c>
      <c r="C16" s="147" t="s">
        <v>251</v>
      </c>
      <c r="D16" s="186">
        <v>2000</v>
      </c>
      <c r="E16" s="186">
        <v>2600</v>
      </c>
      <c r="F16" s="438">
        <v>16887</v>
      </c>
      <c r="G16" s="204">
        <f t="shared" si="0"/>
        <v>21487</v>
      </c>
    </row>
    <row r="17" spans="2:7" ht="18" customHeight="1" x14ac:dyDescent="0.25">
      <c r="B17" s="427">
        <v>12</v>
      </c>
      <c r="C17" s="147" t="s">
        <v>252</v>
      </c>
      <c r="D17" s="186">
        <v>2000</v>
      </c>
      <c r="E17" s="186">
        <v>2600</v>
      </c>
      <c r="F17" s="438">
        <v>16887</v>
      </c>
      <c r="G17" s="204">
        <f t="shared" si="0"/>
        <v>21487</v>
      </c>
    </row>
    <row r="18" spans="2:7" ht="18" customHeight="1" x14ac:dyDescent="0.25">
      <c r="B18" s="427">
        <v>13</v>
      </c>
      <c r="C18" s="147" t="s">
        <v>253</v>
      </c>
      <c r="D18" s="186">
        <v>2000</v>
      </c>
      <c r="E18" s="186">
        <v>2600</v>
      </c>
      <c r="F18" s="438">
        <v>16887</v>
      </c>
      <c r="G18" s="204">
        <f t="shared" si="0"/>
        <v>21487</v>
      </c>
    </row>
    <row r="19" spans="2:7" ht="18" customHeight="1" x14ac:dyDescent="0.25">
      <c r="B19" s="427">
        <v>14</v>
      </c>
      <c r="C19" s="147" t="s">
        <v>254</v>
      </c>
      <c r="D19" s="186">
        <v>2000</v>
      </c>
      <c r="E19" s="186">
        <v>2600</v>
      </c>
      <c r="F19" s="438">
        <v>16887</v>
      </c>
      <c r="G19" s="204">
        <f t="shared" si="0"/>
        <v>21487</v>
      </c>
    </row>
    <row r="20" spans="2:7" ht="18" customHeight="1" x14ac:dyDescent="0.25">
      <c r="B20" s="427">
        <v>15</v>
      </c>
      <c r="C20" s="147" t="s">
        <v>255</v>
      </c>
      <c r="D20" s="186">
        <v>2000</v>
      </c>
      <c r="E20" s="186">
        <v>2600</v>
      </c>
      <c r="F20" s="438">
        <v>16887</v>
      </c>
      <c r="G20" s="204">
        <f t="shared" si="0"/>
        <v>21487</v>
      </c>
    </row>
    <row r="21" spans="2:7" ht="18" customHeight="1" x14ac:dyDescent="0.25">
      <c r="B21" s="427">
        <v>16</v>
      </c>
      <c r="C21" s="147" t="s">
        <v>256</v>
      </c>
      <c r="D21" s="186">
        <v>2000</v>
      </c>
      <c r="E21" s="186">
        <v>2600</v>
      </c>
      <c r="F21" s="438">
        <v>16887</v>
      </c>
      <c r="G21" s="204">
        <f t="shared" si="0"/>
        <v>21487</v>
      </c>
    </row>
    <row r="22" spans="2:7" ht="18" customHeight="1" x14ac:dyDescent="0.25">
      <c r="B22" s="427">
        <v>17</v>
      </c>
      <c r="C22" s="147" t="s">
        <v>257</v>
      </c>
      <c r="D22" s="186">
        <v>2000</v>
      </c>
      <c r="E22" s="186">
        <v>2600</v>
      </c>
      <c r="F22" s="438">
        <v>16887</v>
      </c>
      <c r="G22" s="204">
        <f t="shared" si="0"/>
        <v>21487</v>
      </c>
    </row>
    <row r="23" spans="2:7" ht="18" customHeight="1" x14ac:dyDescent="0.25">
      <c r="B23" s="427">
        <v>18</v>
      </c>
      <c r="C23" s="147" t="s">
        <v>258</v>
      </c>
      <c r="D23" s="186">
        <v>2000</v>
      </c>
      <c r="E23" s="186">
        <v>2600</v>
      </c>
      <c r="F23" s="438">
        <v>16887</v>
      </c>
      <c r="G23" s="204">
        <f t="shared" si="0"/>
        <v>21487</v>
      </c>
    </row>
    <row r="24" spans="2:7" ht="18" customHeight="1" x14ac:dyDescent="0.25">
      <c r="B24" s="427">
        <v>19</v>
      </c>
      <c r="C24" s="147" t="s">
        <v>259</v>
      </c>
      <c r="D24" s="186">
        <v>2000</v>
      </c>
      <c r="E24" s="186">
        <v>2600</v>
      </c>
      <c r="F24" s="438">
        <v>16887</v>
      </c>
      <c r="G24" s="204">
        <f t="shared" si="0"/>
        <v>21487</v>
      </c>
    </row>
    <row r="25" spans="2:7" ht="18" customHeight="1" x14ac:dyDescent="0.25">
      <c r="B25" s="365">
        <v>20</v>
      </c>
      <c r="C25" s="412" t="s">
        <v>260</v>
      </c>
      <c r="D25" s="415">
        <v>2000</v>
      </c>
      <c r="E25" s="415">
        <v>2600</v>
      </c>
      <c r="F25" s="484">
        <v>16887</v>
      </c>
      <c r="G25" s="413">
        <f t="shared" si="0"/>
        <v>21487</v>
      </c>
    </row>
    <row r="26" spans="2:7" ht="18" customHeight="1" x14ac:dyDescent="0.25">
      <c r="B26" s="365">
        <v>21</v>
      </c>
      <c r="C26" s="412" t="s">
        <v>261</v>
      </c>
      <c r="D26" s="415">
        <v>2000</v>
      </c>
      <c r="E26" s="415">
        <v>2600</v>
      </c>
      <c r="F26" s="484">
        <v>16887</v>
      </c>
      <c r="G26" s="413">
        <f t="shared" si="0"/>
        <v>21487</v>
      </c>
    </row>
    <row r="27" spans="2:7" ht="18" customHeight="1" x14ac:dyDescent="0.25">
      <c r="B27" s="427">
        <v>22</v>
      </c>
      <c r="C27" s="147" t="s">
        <v>262</v>
      </c>
      <c r="D27" s="186">
        <v>2000</v>
      </c>
      <c r="E27" s="186">
        <v>2600</v>
      </c>
      <c r="F27" s="438">
        <v>16887</v>
      </c>
      <c r="G27" s="204">
        <f t="shared" si="0"/>
        <v>21487</v>
      </c>
    </row>
    <row r="28" spans="2:7" ht="18" customHeight="1" x14ac:dyDescent="0.25">
      <c r="B28" s="365">
        <v>23</v>
      </c>
      <c r="C28" s="412" t="s">
        <v>263</v>
      </c>
      <c r="D28" s="415">
        <v>2000</v>
      </c>
      <c r="E28" s="415">
        <v>2600</v>
      </c>
      <c r="F28" s="484">
        <v>16887</v>
      </c>
      <c r="G28" s="413">
        <f t="shared" si="0"/>
        <v>21487</v>
      </c>
    </row>
    <row r="29" spans="2:7" ht="18" customHeight="1" x14ac:dyDescent="0.25">
      <c r="B29" s="427">
        <v>24</v>
      </c>
      <c r="C29" s="147" t="s">
        <v>264</v>
      </c>
      <c r="D29" s="186">
        <v>2000</v>
      </c>
      <c r="E29" s="186">
        <v>2600</v>
      </c>
      <c r="F29" s="438">
        <v>16887</v>
      </c>
      <c r="G29" s="204">
        <f t="shared" si="0"/>
        <v>21487</v>
      </c>
    </row>
    <row r="30" spans="2:7" ht="18" customHeight="1" x14ac:dyDescent="0.25">
      <c r="B30" s="427">
        <v>25</v>
      </c>
      <c r="C30" s="147" t="s">
        <v>265</v>
      </c>
      <c r="D30" s="186">
        <v>2000</v>
      </c>
      <c r="E30" s="186">
        <v>2600</v>
      </c>
      <c r="F30" s="438">
        <v>16887</v>
      </c>
      <c r="G30" s="204">
        <f t="shared" si="0"/>
        <v>21487</v>
      </c>
    </row>
    <row r="31" spans="2:7" ht="18" customHeight="1" x14ac:dyDescent="0.25">
      <c r="B31" s="427">
        <v>26</v>
      </c>
      <c r="C31" s="147" t="s">
        <v>266</v>
      </c>
      <c r="D31" s="186">
        <v>2000</v>
      </c>
      <c r="E31" s="186">
        <v>2600</v>
      </c>
      <c r="F31" s="438">
        <v>16887</v>
      </c>
      <c r="G31" s="204">
        <f t="shared" si="0"/>
        <v>21487</v>
      </c>
    </row>
    <row r="32" spans="2:7" ht="18" customHeight="1" x14ac:dyDescent="0.25">
      <c r="B32" s="427">
        <v>27</v>
      </c>
      <c r="C32" s="147" t="s">
        <v>267</v>
      </c>
      <c r="D32" s="186">
        <v>2000</v>
      </c>
      <c r="E32" s="186">
        <v>2600</v>
      </c>
      <c r="F32" s="438">
        <v>16887</v>
      </c>
      <c r="G32" s="204">
        <f t="shared" si="0"/>
        <v>21487</v>
      </c>
    </row>
    <row r="33" spans="2:7" ht="18" customHeight="1" x14ac:dyDescent="0.25">
      <c r="B33" s="427">
        <v>28</v>
      </c>
      <c r="C33" s="147" t="s">
        <v>268</v>
      </c>
      <c r="D33" s="186">
        <v>2000</v>
      </c>
      <c r="E33" s="186">
        <v>2600</v>
      </c>
      <c r="F33" s="438">
        <v>16887</v>
      </c>
      <c r="G33" s="204">
        <f t="shared" si="0"/>
        <v>21487</v>
      </c>
    </row>
    <row r="34" spans="2:7" ht="18" customHeight="1" x14ac:dyDescent="0.25">
      <c r="B34" s="427">
        <v>29</v>
      </c>
      <c r="C34" s="147" t="s">
        <v>269</v>
      </c>
      <c r="D34" s="186">
        <v>2000</v>
      </c>
      <c r="E34" s="186">
        <v>2600</v>
      </c>
      <c r="F34" s="438">
        <v>16887</v>
      </c>
      <c r="G34" s="204">
        <f t="shared" si="0"/>
        <v>21487</v>
      </c>
    </row>
    <row r="35" spans="2:7" ht="18" customHeight="1" x14ac:dyDescent="0.25">
      <c r="B35" s="427">
        <v>30</v>
      </c>
      <c r="C35" s="147" t="s">
        <v>270</v>
      </c>
      <c r="D35" s="186">
        <v>2000</v>
      </c>
      <c r="E35" s="186">
        <v>2600</v>
      </c>
      <c r="F35" s="438">
        <v>16887</v>
      </c>
      <c r="G35" s="204">
        <f t="shared" si="0"/>
        <v>21487</v>
      </c>
    </row>
    <row r="36" spans="2:7" ht="18" customHeight="1" x14ac:dyDescent="0.25">
      <c r="B36" s="427">
        <v>31</v>
      </c>
      <c r="C36" s="147" t="s">
        <v>271</v>
      </c>
      <c r="D36" s="186">
        <v>2000</v>
      </c>
      <c r="E36" s="186">
        <v>2600</v>
      </c>
      <c r="F36" s="438">
        <v>16887</v>
      </c>
      <c r="G36" s="204">
        <f t="shared" si="0"/>
        <v>21487</v>
      </c>
    </row>
    <row r="37" spans="2:7" ht="18" customHeight="1" x14ac:dyDescent="0.25">
      <c r="B37" s="427">
        <v>32</v>
      </c>
      <c r="C37" s="147" t="s">
        <v>272</v>
      </c>
      <c r="D37" s="186">
        <v>2000</v>
      </c>
      <c r="E37" s="186">
        <v>2600</v>
      </c>
      <c r="F37" s="438">
        <v>16887</v>
      </c>
      <c r="G37" s="204">
        <f t="shared" si="0"/>
        <v>21487</v>
      </c>
    </row>
    <row r="38" spans="2:7" ht="18" customHeight="1" x14ac:dyDescent="0.25">
      <c r="B38" s="427">
        <v>33</v>
      </c>
      <c r="C38" s="147" t="s">
        <v>273</v>
      </c>
      <c r="D38" s="186">
        <v>2000</v>
      </c>
      <c r="E38" s="186">
        <v>2600</v>
      </c>
      <c r="F38" s="438">
        <v>16887</v>
      </c>
      <c r="G38" s="204">
        <f t="shared" si="0"/>
        <v>21487</v>
      </c>
    </row>
    <row r="39" spans="2:7" ht="18" customHeight="1" x14ac:dyDescent="0.25">
      <c r="B39" s="427">
        <v>34</v>
      </c>
      <c r="C39" s="147" t="s">
        <v>274</v>
      </c>
      <c r="D39" s="186">
        <v>2000</v>
      </c>
      <c r="E39" s="186">
        <v>2600</v>
      </c>
      <c r="F39" s="438">
        <v>16887</v>
      </c>
      <c r="G39" s="204">
        <f t="shared" si="0"/>
        <v>21487</v>
      </c>
    </row>
    <row r="40" spans="2:7" ht="18" customHeight="1" x14ac:dyDescent="0.25">
      <c r="B40" s="427">
        <v>35</v>
      </c>
      <c r="C40" s="147" t="s">
        <v>275</v>
      </c>
      <c r="D40" s="186">
        <v>2000</v>
      </c>
      <c r="E40" s="186">
        <v>2600</v>
      </c>
      <c r="F40" s="438">
        <v>16887</v>
      </c>
      <c r="G40" s="204">
        <f t="shared" si="0"/>
        <v>21487</v>
      </c>
    </row>
    <row r="41" spans="2:7" ht="18" customHeight="1" x14ac:dyDescent="0.25">
      <c r="B41" s="427">
        <v>36</v>
      </c>
      <c r="C41" s="147" t="s">
        <v>296</v>
      </c>
      <c r="D41" s="186">
        <v>2000</v>
      </c>
      <c r="E41" s="186">
        <v>2600</v>
      </c>
      <c r="F41" s="438">
        <v>16887</v>
      </c>
      <c r="G41" s="204">
        <f t="shared" si="0"/>
        <v>21487</v>
      </c>
    </row>
    <row r="42" spans="2:7" ht="18" customHeight="1" x14ac:dyDescent="0.25">
      <c r="B42" s="427">
        <v>37</v>
      </c>
      <c r="C42" s="147" t="s">
        <v>277</v>
      </c>
      <c r="D42" s="186">
        <v>2000</v>
      </c>
      <c r="E42" s="186">
        <v>2600</v>
      </c>
      <c r="F42" s="438">
        <v>16887</v>
      </c>
      <c r="G42" s="204">
        <f t="shared" si="0"/>
        <v>21487</v>
      </c>
    </row>
    <row r="43" spans="2:7" ht="18" customHeight="1" x14ac:dyDescent="0.25">
      <c r="B43" s="427">
        <v>38</v>
      </c>
      <c r="C43" s="147" t="s">
        <v>278</v>
      </c>
      <c r="D43" s="186">
        <v>2000</v>
      </c>
      <c r="E43" s="186">
        <v>2600</v>
      </c>
      <c r="F43" s="438">
        <v>16887</v>
      </c>
      <c r="G43" s="204">
        <f t="shared" si="0"/>
        <v>21487</v>
      </c>
    </row>
    <row r="44" spans="2:7" ht="18" customHeight="1" x14ac:dyDescent="0.25">
      <c r="B44" s="427">
        <v>39</v>
      </c>
      <c r="C44" s="147" t="s">
        <v>279</v>
      </c>
      <c r="D44" s="186">
        <v>2000</v>
      </c>
      <c r="E44" s="186">
        <v>2600</v>
      </c>
      <c r="F44" s="438">
        <v>16887</v>
      </c>
      <c r="G44" s="204">
        <f t="shared" si="0"/>
        <v>21487</v>
      </c>
    </row>
    <row r="45" spans="2:7" ht="18" customHeight="1" x14ac:dyDescent="0.25">
      <c r="B45" s="427">
        <v>40</v>
      </c>
      <c r="C45" s="147" t="s">
        <v>1858</v>
      </c>
      <c r="D45" s="186">
        <v>2000</v>
      </c>
      <c r="E45" s="186">
        <v>2600</v>
      </c>
      <c r="F45" s="438">
        <v>16887</v>
      </c>
      <c r="G45" s="204">
        <f t="shared" si="0"/>
        <v>21487</v>
      </c>
    </row>
    <row r="46" spans="2:7" ht="18" customHeight="1" x14ac:dyDescent="0.25">
      <c r="B46" s="892"/>
      <c r="C46" s="205" t="s">
        <v>297</v>
      </c>
      <c r="D46" s="196">
        <f>SUM(D6:D45)</f>
        <v>80000</v>
      </c>
      <c r="E46" s="196">
        <f>SUM(E6:E45)</f>
        <v>104000</v>
      </c>
      <c r="F46" s="196">
        <f>SUM(F6:F45)</f>
        <v>675480</v>
      </c>
      <c r="G46" s="196">
        <f t="shared" si="0"/>
        <v>859480</v>
      </c>
    </row>
    <row r="47" spans="2:7" ht="18" customHeight="1" x14ac:dyDescent="0.25">
      <c r="B47" s="895"/>
      <c r="C47" s="207" t="s">
        <v>282</v>
      </c>
      <c r="D47" s="196">
        <f t="shared" ref="D47:F47" si="1">D46*16%</f>
        <v>12800</v>
      </c>
      <c r="E47" s="196">
        <f t="shared" si="1"/>
        <v>16640</v>
      </c>
      <c r="F47" s="196">
        <f t="shared" si="1"/>
        <v>108076.8</v>
      </c>
      <c r="G47" s="196">
        <f t="shared" si="0"/>
        <v>137516.79999999999</v>
      </c>
    </row>
    <row r="48" spans="2:7" ht="18" customHeight="1" x14ac:dyDescent="0.25">
      <c r="B48" s="895"/>
      <c r="C48" s="207" t="s">
        <v>298</v>
      </c>
      <c r="D48" s="196">
        <f t="shared" ref="D48:F48" si="2">D46+D47</f>
        <v>92800</v>
      </c>
      <c r="E48" s="196">
        <f t="shared" si="2"/>
        <v>120640</v>
      </c>
      <c r="F48" s="196">
        <f t="shared" si="2"/>
        <v>783556.8</v>
      </c>
      <c r="G48" s="196">
        <f>SUM(D48:F48)</f>
        <v>996996.8</v>
      </c>
    </row>
    <row r="49" spans="2:7" x14ac:dyDescent="0.25">
      <c r="B49" s="158"/>
      <c r="C49" s="158"/>
      <c r="D49" s="158"/>
      <c r="E49" s="896" t="s">
        <v>161</v>
      </c>
      <c r="F49" s="896"/>
      <c r="G49" s="485">
        <f>+G48+'BOTIQUIN II'!M50+BOTIQUIN!M51</f>
        <v>7916118.4000000004</v>
      </c>
    </row>
    <row r="50" spans="2:7" x14ac:dyDescent="0.25">
      <c r="F50" s="3"/>
      <c r="G50" s="486"/>
    </row>
  </sheetData>
  <mergeCells count="4">
    <mergeCell ref="B3:G3"/>
    <mergeCell ref="B4:G4"/>
    <mergeCell ref="B46:B48"/>
    <mergeCell ref="E49:F49"/>
  </mergeCells>
  <pageMargins left="0.7" right="0.7" top="0.75" bottom="0.75" header="0.3" footer="0.3"/>
  <pageSetup paperSize="5" scale="9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00B0F0"/>
  </sheetPr>
  <dimension ref="C3:M20"/>
  <sheetViews>
    <sheetView view="pageLayout" workbookViewId="0">
      <selection sqref="A1:A1048576"/>
    </sheetView>
  </sheetViews>
  <sheetFormatPr baseColWidth="10" defaultRowHeight="15" x14ac:dyDescent="0.25"/>
  <cols>
    <col min="1" max="2" width="11.42578125" style="433"/>
    <col min="3" max="3" width="4.7109375" style="433" customWidth="1"/>
    <col min="4" max="4" width="20" style="433" customWidth="1"/>
    <col min="5" max="5" width="7.140625" style="433" customWidth="1"/>
    <col min="6" max="6" width="14.28515625" style="433" customWidth="1"/>
    <col min="7" max="7" width="15.28515625" style="433" customWidth="1"/>
    <col min="8" max="8" width="8.28515625" style="433" customWidth="1"/>
    <col min="9" max="9" width="12.5703125" style="433" customWidth="1"/>
    <col min="10" max="10" width="13.7109375" style="433" customWidth="1"/>
    <col min="11" max="11" width="11.42578125" style="433"/>
    <col min="12" max="12" width="11.85546875" style="433" customWidth="1"/>
    <col min="13" max="13" width="14.42578125" style="433" customWidth="1"/>
    <col min="14" max="16384" width="11.42578125" style="433"/>
  </cols>
  <sheetData>
    <row r="3" spans="3:13" x14ac:dyDescent="0.25">
      <c r="C3" s="898" t="s">
        <v>286</v>
      </c>
      <c r="D3" s="898"/>
      <c r="E3" s="898"/>
      <c r="F3" s="898"/>
      <c r="G3" s="898"/>
      <c r="H3" s="898"/>
      <c r="I3" s="898"/>
      <c r="J3" s="898"/>
      <c r="K3" s="898"/>
      <c r="L3" s="898"/>
      <c r="M3" s="898"/>
    </row>
    <row r="4" spans="3:13" x14ac:dyDescent="0.25">
      <c r="C4" s="899" t="s">
        <v>1398</v>
      </c>
      <c r="D4" s="899"/>
      <c r="E4" s="899"/>
      <c r="F4" s="899"/>
      <c r="G4" s="899"/>
      <c r="H4" s="899"/>
      <c r="I4" s="899"/>
      <c r="J4" s="899"/>
      <c r="K4" s="899"/>
      <c r="L4" s="899"/>
      <c r="M4" s="899"/>
    </row>
    <row r="5" spans="3:13" x14ac:dyDescent="0.25">
      <c r="C5" s="900" t="s">
        <v>305</v>
      </c>
      <c r="D5" s="900" t="s">
        <v>287</v>
      </c>
      <c r="E5" s="899" t="s">
        <v>306</v>
      </c>
      <c r="F5" s="899"/>
      <c r="G5" s="899"/>
      <c r="H5" s="899" t="s">
        <v>307</v>
      </c>
      <c r="I5" s="899"/>
      <c r="J5" s="899"/>
      <c r="K5" s="899" t="s">
        <v>308</v>
      </c>
      <c r="L5" s="899"/>
      <c r="M5" s="899"/>
    </row>
    <row r="6" spans="3:13" ht="24.75" x14ac:dyDescent="0.25">
      <c r="C6" s="900"/>
      <c r="D6" s="900"/>
      <c r="E6" s="384" t="s">
        <v>309</v>
      </c>
      <c r="F6" s="384" t="s">
        <v>310</v>
      </c>
      <c r="G6" s="384" t="s">
        <v>180</v>
      </c>
      <c r="H6" s="384" t="s">
        <v>311</v>
      </c>
      <c r="I6" s="384" t="s">
        <v>310</v>
      </c>
      <c r="J6" s="384" t="s">
        <v>180</v>
      </c>
      <c r="K6" s="384" t="s">
        <v>311</v>
      </c>
      <c r="L6" s="384" t="s">
        <v>310</v>
      </c>
      <c r="M6" s="384" t="s">
        <v>180</v>
      </c>
    </row>
    <row r="7" spans="3:13" x14ac:dyDescent="0.25">
      <c r="C7" s="434">
        <v>1</v>
      </c>
      <c r="D7" s="435" t="s">
        <v>242</v>
      </c>
      <c r="E7" s="436"/>
      <c r="F7" s="436"/>
      <c r="G7" s="436"/>
      <c r="H7" s="435"/>
      <c r="I7" s="435"/>
      <c r="J7" s="435"/>
      <c r="K7" s="435"/>
      <c r="L7" s="435"/>
      <c r="M7" s="435"/>
    </row>
    <row r="8" spans="3:13" x14ac:dyDescent="0.25">
      <c r="C8" s="434">
        <v>2</v>
      </c>
      <c r="D8" s="435" t="s">
        <v>248</v>
      </c>
      <c r="E8" s="435"/>
      <c r="F8" s="435"/>
      <c r="G8" s="435"/>
      <c r="H8" s="435"/>
      <c r="I8" s="435"/>
      <c r="J8" s="435"/>
      <c r="K8" s="436">
        <v>1</v>
      </c>
      <c r="L8" s="437">
        <v>200000000</v>
      </c>
      <c r="M8" s="437">
        <f>L8</f>
        <v>200000000</v>
      </c>
    </row>
    <row r="9" spans="3:13" x14ac:dyDescent="0.25">
      <c r="C9" s="434">
        <v>3</v>
      </c>
      <c r="D9" s="435" t="s">
        <v>259</v>
      </c>
      <c r="E9" s="435"/>
      <c r="F9" s="435"/>
      <c r="G9" s="435"/>
      <c r="H9" s="435"/>
      <c r="I9" s="435"/>
      <c r="J9" s="435"/>
      <c r="K9" s="435"/>
      <c r="L9" s="435"/>
      <c r="M9" s="435"/>
    </row>
    <row r="10" spans="3:13" x14ac:dyDescent="0.25">
      <c r="C10" s="434">
        <v>4</v>
      </c>
      <c r="D10" s="435" t="s">
        <v>296</v>
      </c>
      <c r="E10" s="435"/>
      <c r="F10" s="435"/>
      <c r="G10" s="435"/>
      <c r="H10" s="435"/>
      <c r="I10" s="435"/>
      <c r="J10" s="435"/>
      <c r="K10" s="435"/>
      <c r="L10" s="435"/>
      <c r="M10" s="435"/>
    </row>
    <row r="11" spans="3:13" x14ac:dyDescent="0.25">
      <c r="C11" s="434">
        <v>5</v>
      </c>
      <c r="D11" s="435" t="s">
        <v>277</v>
      </c>
      <c r="E11" s="435"/>
      <c r="F11" s="435"/>
      <c r="G11" s="435"/>
      <c r="H11" s="435"/>
      <c r="I11" s="435"/>
      <c r="J11" s="435"/>
      <c r="K11" s="436">
        <v>1</v>
      </c>
      <c r="L11" s="437">
        <v>200000000</v>
      </c>
      <c r="M11" s="437">
        <f>L11*K11</f>
        <v>200000000</v>
      </c>
    </row>
    <row r="12" spans="3:13" x14ac:dyDescent="0.25">
      <c r="C12" s="434">
        <v>6</v>
      </c>
      <c r="D12" s="435" t="s">
        <v>278</v>
      </c>
      <c r="E12" s="435"/>
      <c r="F12" s="435"/>
      <c r="G12" s="435"/>
      <c r="H12" s="435"/>
      <c r="I12" s="435"/>
      <c r="J12" s="435"/>
      <c r="K12" s="435"/>
      <c r="L12" s="435"/>
      <c r="M12" s="435"/>
    </row>
    <row r="13" spans="3:13" x14ac:dyDescent="0.25">
      <c r="C13" s="434">
        <v>7</v>
      </c>
      <c r="D13" s="435" t="s">
        <v>265</v>
      </c>
      <c r="E13" s="435"/>
      <c r="F13" s="435"/>
      <c r="G13" s="435"/>
      <c r="H13" s="435"/>
      <c r="I13" s="435"/>
      <c r="J13" s="435"/>
      <c r="K13" s="436"/>
      <c r="L13" s="438"/>
      <c r="M13" s="438"/>
    </row>
    <row r="14" spans="3:13" x14ac:dyDescent="0.25">
      <c r="C14" s="434">
        <v>8</v>
      </c>
      <c r="D14" s="435" t="s">
        <v>280</v>
      </c>
      <c r="E14" s="436">
        <v>2</v>
      </c>
      <c r="F14" s="439">
        <v>6100000</v>
      </c>
      <c r="G14" s="437">
        <f>F14*E14</f>
        <v>12200000</v>
      </c>
      <c r="H14" s="436">
        <v>5</v>
      </c>
      <c r="I14" s="439">
        <v>70000000</v>
      </c>
      <c r="J14" s="437">
        <f>I14*H14</f>
        <v>350000000</v>
      </c>
      <c r="K14" s="435"/>
      <c r="L14" s="435"/>
      <c r="M14" s="435"/>
    </row>
    <row r="15" spans="3:13" x14ac:dyDescent="0.25">
      <c r="C15" s="897"/>
      <c r="D15" s="440" t="s">
        <v>297</v>
      </c>
      <c r="E15" s="441">
        <v>0</v>
      </c>
      <c r="F15" s="440"/>
      <c r="G15" s="442">
        <f>G14</f>
        <v>12200000</v>
      </c>
      <c r="H15" s="441">
        <v>5</v>
      </c>
      <c r="I15" s="443"/>
      <c r="J15" s="442">
        <f>J14</f>
        <v>350000000</v>
      </c>
      <c r="K15" s="441">
        <v>2</v>
      </c>
      <c r="L15" s="440"/>
      <c r="M15" s="442">
        <f>SUM(M7:M14)</f>
        <v>400000000</v>
      </c>
    </row>
    <row r="16" spans="3:13" x14ac:dyDescent="0.25">
      <c r="C16" s="889"/>
      <c r="D16" s="444"/>
      <c r="E16" s="445"/>
      <c r="F16" s="445"/>
      <c r="G16" s="445"/>
      <c r="H16" s="445"/>
      <c r="I16" s="445"/>
      <c r="J16" s="446"/>
      <c r="K16" s="901" t="s">
        <v>312</v>
      </c>
      <c r="L16" s="902"/>
      <c r="M16" s="442">
        <f>G15+J15+M15</f>
        <v>762200000</v>
      </c>
    </row>
    <row r="20" spans="12:12" x14ac:dyDescent="0.25">
      <c r="L20" s="447"/>
    </row>
  </sheetData>
  <mergeCells count="9">
    <mergeCell ref="C15:C16"/>
    <mergeCell ref="C3:M3"/>
    <mergeCell ref="C4:M4"/>
    <mergeCell ref="C5:C6"/>
    <mergeCell ref="D5:D6"/>
    <mergeCell ref="E5:G5"/>
    <mergeCell ref="H5:J5"/>
    <mergeCell ref="K5:M5"/>
    <mergeCell ref="K16:L16"/>
  </mergeCells>
  <pageMargins left="0.7" right="0.7" top="0.75" bottom="0.75" header="0.3" footer="0.3"/>
  <pageSetup paperSize="5" scale="9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00B0F0"/>
  </sheetPr>
  <dimension ref="B1:AD44"/>
  <sheetViews>
    <sheetView view="pageLayout" topLeftCell="A37" zoomScale="90" zoomScalePageLayoutView="90" workbookViewId="0">
      <selection activeCell="E7" sqref="E7"/>
    </sheetView>
  </sheetViews>
  <sheetFormatPr baseColWidth="10" defaultColWidth="11.42578125" defaultRowHeight="12" x14ac:dyDescent="0.2"/>
  <cols>
    <col min="1" max="1" width="11.42578125" style="448"/>
    <col min="2" max="2" width="9" style="468" customWidth="1"/>
    <col min="3" max="3" width="20.28515625" style="448" customWidth="1"/>
    <col min="4" max="7" width="9" style="448" customWidth="1"/>
    <col min="8" max="8" width="10.42578125" style="448" customWidth="1"/>
    <col min="9" max="9" width="10.140625" style="448" customWidth="1"/>
    <col min="10" max="14" width="9" style="448" customWidth="1"/>
    <col min="15" max="15" width="10.5703125" style="448" customWidth="1"/>
    <col min="16" max="16" width="12.28515625" style="448" customWidth="1"/>
    <col min="17" max="26" width="9" style="448" customWidth="1"/>
    <col min="27" max="27" width="10.28515625" style="249" customWidth="1"/>
    <col min="28" max="29" width="5.7109375" style="249" customWidth="1"/>
    <col min="30" max="30" width="11.42578125" style="249"/>
    <col min="31" max="16384" width="11.42578125" style="448"/>
  </cols>
  <sheetData>
    <row r="1" spans="2:30" ht="19.7" customHeight="1" x14ac:dyDescent="0.2"/>
    <row r="2" spans="2:30" ht="19.7" customHeight="1" x14ac:dyDescent="0.2"/>
    <row r="3" spans="2:30" x14ac:dyDescent="0.2">
      <c r="B3" s="907" t="s">
        <v>1624</v>
      </c>
      <c r="C3" s="907"/>
      <c r="D3" s="907"/>
      <c r="E3" s="907"/>
      <c r="F3" s="907"/>
      <c r="G3" s="907"/>
      <c r="H3" s="907"/>
      <c r="I3" s="907"/>
      <c r="J3" s="907"/>
      <c r="K3" s="907"/>
      <c r="L3" s="907"/>
      <c r="M3" s="907"/>
      <c r="N3" s="907"/>
      <c r="O3" s="907"/>
      <c r="P3" s="907"/>
    </row>
    <row r="4" spans="2:30" x14ac:dyDescent="0.2">
      <c r="B4" s="464"/>
      <c r="C4" s="450"/>
      <c r="D4" s="449"/>
      <c r="E4" s="449"/>
      <c r="F4" s="449"/>
      <c r="G4" s="449"/>
      <c r="H4" s="449"/>
      <c r="I4" s="450"/>
      <c r="J4" s="449"/>
      <c r="K4" s="450"/>
      <c r="L4" s="449"/>
      <c r="M4" s="449"/>
      <c r="N4" s="908"/>
      <c r="O4" s="908"/>
      <c r="P4" s="449"/>
    </row>
    <row r="5" spans="2:30" ht="94.5" x14ac:dyDescent="0.2">
      <c r="B5" s="378" t="s">
        <v>233</v>
      </c>
      <c r="C5" s="378" t="s">
        <v>287</v>
      </c>
      <c r="D5" s="451" t="s">
        <v>321</v>
      </c>
      <c r="E5" s="451" t="s">
        <v>322</v>
      </c>
      <c r="F5" s="451" t="s">
        <v>323</v>
      </c>
      <c r="G5" s="451" t="s">
        <v>324</v>
      </c>
      <c r="H5" s="451" t="s">
        <v>325</v>
      </c>
      <c r="I5" s="451" t="s">
        <v>326</v>
      </c>
      <c r="J5" s="451" t="s">
        <v>327</v>
      </c>
      <c r="K5" s="451" t="s">
        <v>328</v>
      </c>
      <c r="L5" s="451" t="s">
        <v>329</v>
      </c>
      <c r="M5" s="451" t="s">
        <v>330</v>
      </c>
      <c r="N5" s="452" t="s">
        <v>331</v>
      </c>
      <c r="O5" s="452" t="s">
        <v>332</v>
      </c>
      <c r="P5" s="452" t="s">
        <v>284</v>
      </c>
    </row>
    <row r="6" spans="2:30" ht="19.7" customHeight="1" x14ac:dyDescent="0.2">
      <c r="B6" s="144">
        <v>1</v>
      </c>
      <c r="C6" s="453" t="s">
        <v>315</v>
      </c>
      <c r="D6" s="144"/>
      <c r="E6" s="144"/>
      <c r="F6" s="144"/>
      <c r="G6" s="144"/>
      <c r="H6" s="144"/>
      <c r="I6" s="387"/>
      <c r="J6" s="144"/>
      <c r="K6" s="387"/>
      <c r="L6" s="144"/>
      <c r="M6" s="144"/>
      <c r="N6" s="387"/>
      <c r="O6" s="387"/>
      <c r="P6" s="186"/>
    </row>
    <row r="7" spans="2:30" ht="19.7" customHeight="1" x14ac:dyDescent="0.2">
      <c r="B7" s="144">
        <v>2</v>
      </c>
      <c r="C7" s="453" t="s">
        <v>316</v>
      </c>
      <c r="D7" s="144"/>
      <c r="E7" s="144"/>
      <c r="F7" s="144"/>
      <c r="G7" s="144"/>
      <c r="H7" s="144"/>
      <c r="I7" s="387"/>
      <c r="J7" s="144"/>
      <c r="K7" s="387"/>
      <c r="L7" s="144"/>
      <c r="M7" s="144"/>
      <c r="N7" s="387"/>
      <c r="O7" s="387"/>
      <c r="P7" s="186"/>
    </row>
    <row r="8" spans="2:30" ht="19.7" customHeight="1" x14ac:dyDescent="0.2">
      <c r="B8" s="144">
        <v>3</v>
      </c>
      <c r="C8" s="453" t="s">
        <v>265</v>
      </c>
      <c r="D8" s="144">
        <v>2500875</v>
      </c>
      <c r="E8" s="144">
        <v>753900</v>
      </c>
      <c r="F8" s="144">
        <v>200000</v>
      </c>
      <c r="G8" s="144">
        <v>800000</v>
      </c>
      <c r="H8" s="144">
        <v>28000000</v>
      </c>
      <c r="I8" s="144">
        <v>24000000</v>
      </c>
      <c r="J8" s="144">
        <v>600000</v>
      </c>
      <c r="K8" s="144">
        <v>600000</v>
      </c>
      <c r="L8" s="144">
        <v>400000</v>
      </c>
      <c r="M8" s="144">
        <v>240000</v>
      </c>
      <c r="N8" s="387">
        <v>94500</v>
      </c>
      <c r="O8" s="144">
        <v>80000</v>
      </c>
      <c r="P8" s="186">
        <f>SUM(D8:O8)</f>
        <v>58269275</v>
      </c>
    </row>
    <row r="9" spans="2:30" ht="19.7" customHeight="1" x14ac:dyDescent="0.2">
      <c r="B9" s="144">
        <v>4</v>
      </c>
      <c r="C9" s="453" t="s">
        <v>317</v>
      </c>
      <c r="D9" s="144">
        <v>2500875</v>
      </c>
      <c r="E9" s="144">
        <v>753900</v>
      </c>
      <c r="F9" s="144">
        <v>200000</v>
      </c>
      <c r="G9" s="144">
        <v>800000</v>
      </c>
      <c r="H9" s="144">
        <v>28000000</v>
      </c>
      <c r="I9" s="144">
        <v>24000000</v>
      </c>
      <c r="J9" s="144">
        <v>600000</v>
      </c>
      <c r="K9" s="144">
        <v>600000</v>
      </c>
      <c r="L9" s="144">
        <v>400000</v>
      </c>
      <c r="M9" s="144">
        <v>240000</v>
      </c>
      <c r="N9" s="387">
        <v>94500</v>
      </c>
      <c r="O9" s="144">
        <v>80000</v>
      </c>
      <c r="P9" s="186">
        <f t="shared" ref="P9:P11" si="0">SUM(D9:O9)</f>
        <v>58269275</v>
      </c>
    </row>
    <row r="10" spans="2:30" ht="19.7" customHeight="1" x14ac:dyDescent="0.2">
      <c r="B10" s="144">
        <v>5</v>
      </c>
      <c r="C10" s="453" t="s">
        <v>318</v>
      </c>
      <c r="D10" s="144"/>
      <c r="E10" s="144"/>
      <c r="F10" s="144"/>
      <c r="G10" s="144"/>
      <c r="H10" s="144"/>
      <c r="I10" s="144"/>
      <c r="J10" s="144"/>
      <c r="K10" s="144"/>
      <c r="L10" s="144"/>
      <c r="M10" s="144"/>
      <c r="N10" s="387"/>
      <c r="O10" s="144"/>
      <c r="P10" s="186"/>
    </row>
    <row r="11" spans="2:30" ht="19.7" customHeight="1" x14ac:dyDescent="0.2">
      <c r="B11" s="144">
        <v>6</v>
      </c>
      <c r="C11" s="453" t="s">
        <v>319</v>
      </c>
      <c r="D11" s="144">
        <v>2500875</v>
      </c>
      <c r="E11" s="144">
        <v>753900</v>
      </c>
      <c r="F11" s="144">
        <v>200000</v>
      </c>
      <c r="G11" s="144">
        <v>800000</v>
      </c>
      <c r="H11" s="144">
        <v>28000000</v>
      </c>
      <c r="I11" s="144">
        <v>24000000</v>
      </c>
      <c r="J11" s="144">
        <v>600000</v>
      </c>
      <c r="K11" s="144">
        <v>600000</v>
      </c>
      <c r="L11" s="144">
        <v>400000</v>
      </c>
      <c r="M11" s="144">
        <v>240000</v>
      </c>
      <c r="N11" s="387">
        <v>94500</v>
      </c>
      <c r="O11" s="144">
        <v>80000</v>
      </c>
      <c r="P11" s="186">
        <f t="shared" si="0"/>
        <v>58269275</v>
      </c>
    </row>
    <row r="12" spans="2:30" ht="19.7" customHeight="1" x14ac:dyDescent="0.2">
      <c r="B12" s="144">
        <v>7</v>
      </c>
      <c r="C12" s="453" t="s">
        <v>342</v>
      </c>
      <c r="D12" s="144"/>
      <c r="E12" s="144"/>
      <c r="F12" s="144"/>
      <c r="G12" s="144"/>
      <c r="H12" s="144"/>
      <c r="I12" s="144"/>
      <c r="J12" s="144"/>
      <c r="K12" s="144"/>
      <c r="L12" s="144"/>
      <c r="M12" s="144"/>
      <c r="N12" s="387"/>
      <c r="O12" s="144"/>
      <c r="P12" s="186"/>
    </row>
    <row r="13" spans="2:30" s="474" customFormat="1" ht="19.7" customHeight="1" x14ac:dyDescent="0.2">
      <c r="B13" s="386"/>
      <c r="C13" s="454" t="s">
        <v>297</v>
      </c>
      <c r="D13" s="192">
        <f>SUM(D6:D12)</f>
        <v>7502625</v>
      </c>
      <c r="E13" s="192">
        <f t="shared" ref="E13:P13" si="1">SUM(E6:E12)</f>
        <v>2261700</v>
      </c>
      <c r="F13" s="192">
        <f t="shared" si="1"/>
        <v>600000</v>
      </c>
      <c r="G13" s="192">
        <f t="shared" si="1"/>
        <v>2400000</v>
      </c>
      <c r="H13" s="192">
        <f t="shared" si="1"/>
        <v>84000000</v>
      </c>
      <c r="I13" s="192">
        <f t="shared" si="1"/>
        <v>72000000</v>
      </c>
      <c r="J13" s="192">
        <f t="shared" si="1"/>
        <v>1800000</v>
      </c>
      <c r="K13" s="192">
        <f t="shared" si="1"/>
        <v>1800000</v>
      </c>
      <c r="L13" s="192">
        <f t="shared" si="1"/>
        <v>1200000</v>
      </c>
      <c r="M13" s="192">
        <f t="shared" si="1"/>
        <v>720000</v>
      </c>
      <c r="N13" s="192">
        <f t="shared" si="1"/>
        <v>283500</v>
      </c>
      <c r="O13" s="192">
        <f t="shared" si="1"/>
        <v>240000</v>
      </c>
      <c r="P13" s="192">
        <f t="shared" si="1"/>
        <v>174807825</v>
      </c>
      <c r="AA13" s="475"/>
      <c r="AB13" s="475"/>
      <c r="AC13" s="475"/>
      <c r="AD13" s="475"/>
    </row>
    <row r="14" spans="2:30" ht="19.7" customHeight="1" x14ac:dyDescent="0.2">
      <c r="B14" s="381"/>
      <c r="C14" s="455"/>
      <c r="D14" s="456"/>
      <c r="E14" s="456"/>
      <c r="F14" s="456"/>
      <c r="G14" s="456"/>
      <c r="H14" s="456"/>
      <c r="I14" s="457"/>
      <c r="J14" s="456"/>
      <c r="K14" s="456"/>
      <c r="L14" s="456"/>
      <c r="M14" s="456"/>
      <c r="N14" s="871" t="s">
        <v>284</v>
      </c>
      <c r="O14" s="871"/>
      <c r="P14" s="192">
        <f>P13</f>
        <v>174807825</v>
      </c>
    </row>
    <row r="15" spans="2:30" ht="19.7" customHeight="1" x14ac:dyDescent="0.2">
      <c r="B15" s="381"/>
      <c r="C15" s="455"/>
      <c r="D15" s="456"/>
      <c r="E15" s="456"/>
      <c r="F15" s="456"/>
      <c r="G15" s="456"/>
      <c r="H15" s="456"/>
      <c r="I15" s="457"/>
      <c r="J15" s="456"/>
      <c r="K15" s="456"/>
      <c r="L15" s="456"/>
      <c r="M15" s="456"/>
      <c r="N15" s="871" t="s">
        <v>1508</v>
      </c>
      <c r="O15" s="871"/>
      <c r="P15" s="192">
        <f>P14*0.16</f>
        <v>27969252</v>
      </c>
    </row>
    <row r="16" spans="2:30" ht="19.7" customHeight="1" x14ac:dyDescent="0.2">
      <c r="N16" s="871" t="s">
        <v>298</v>
      </c>
      <c r="O16" s="871"/>
      <c r="P16" s="192">
        <f>SUM(P14:P15)</f>
        <v>202777077</v>
      </c>
    </row>
    <row r="29" spans="2:30" ht="19.7" customHeight="1" x14ac:dyDescent="0.2"/>
    <row r="30" spans="2:30" ht="19.7" customHeight="1" x14ac:dyDescent="0.2"/>
    <row r="31" spans="2:30" ht="129" x14ac:dyDescent="0.2">
      <c r="B31" s="390" t="s">
        <v>233</v>
      </c>
      <c r="C31" s="378" t="s">
        <v>287</v>
      </c>
      <c r="D31" s="451" t="s">
        <v>333</v>
      </c>
      <c r="E31" s="451" t="s">
        <v>334</v>
      </c>
      <c r="F31" s="451" t="s">
        <v>335</v>
      </c>
      <c r="G31" s="451" t="s">
        <v>1625</v>
      </c>
      <c r="H31" s="451" t="s">
        <v>1626</v>
      </c>
      <c r="I31" s="451" t="s">
        <v>336</v>
      </c>
      <c r="J31" s="451" t="s">
        <v>337</v>
      </c>
      <c r="K31" s="458" t="s">
        <v>338</v>
      </c>
      <c r="L31" s="458" t="s">
        <v>339</v>
      </c>
      <c r="M31" s="458" t="s">
        <v>340</v>
      </c>
      <c r="N31" s="459" t="s">
        <v>341</v>
      </c>
      <c r="O31" s="458" t="s">
        <v>298</v>
      </c>
      <c r="P31" s="460"/>
    </row>
    <row r="32" spans="2:30" s="465" customFormat="1" ht="19.7" customHeight="1" x14ac:dyDescent="0.25">
      <c r="B32" s="467">
        <v>1</v>
      </c>
      <c r="C32" s="453" t="s">
        <v>315</v>
      </c>
      <c r="D32" s="461"/>
      <c r="E32" s="462"/>
      <c r="F32" s="462"/>
      <c r="G32" s="462"/>
      <c r="H32" s="462"/>
      <c r="I32" s="462"/>
      <c r="J32" s="462"/>
      <c r="K32" s="462"/>
      <c r="L32" s="462"/>
      <c r="M32" s="462"/>
      <c r="N32" s="463"/>
      <c r="O32" s="186">
        <f>SUM(D32:N32)</f>
        <v>0</v>
      </c>
      <c r="P32" s="464"/>
      <c r="AA32" s="221"/>
      <c r="AB32" s="221"/>
      <c r="AC32" s="221"/>
      <c r="AD32" s="221"/>
    </row>
    <row r="33" spans="2:30" s="465" customFormat="1" ht="19.7" customHeight="1" x14ac:dyDescent="0.25">
      <c r="B33" s="467">
        <v>2</v>
      </c>
      <c r="C33" s="453" t="s">
        <v>316</v>
      </c>
      <c r="D33" s="461"/>
      <c r="E33" s="462"/>
      <c r="F33" s="462"/>
      <c r="G33" s="462"/>
      <c r="H33" s="462"/>
      <c r="I33" s="462"/>
      <c r="J33" s="462"/>
      <c r="K33" s="462"/>
      <c r="L33" s="462"/>
      <c r="M33" s="462"/>
      <c r="N33" s="463"/>
      <c r="O33" s="186">
        <f t="shared" ref="O33:O38" si="2">SUM(D33:N33)</f>
        <v>0</v>
      </c>
      <c r="P33" s="464"/>
      <c r="AA33" s="221"/>
      <c r="AB33" s="221"/>
      <c r="AC33" s="221"/>
      <c r="AD33" s="221"/>
    </row>
    <row r="34" spans="2:30" s="465" customFormat="1" ht="19.7" customHeight="1" x14ac:dyDescent="0.25">
      <c r="B34" s="467">
        <v>3</v>
      </c>
      <c r="C34" s="453" t="s">
        <v>265</v>
      </c>
      <c r="D34" s="461">
        <v>20670</v>
      </c>
      <c r="E34" s="462">
        <v>30000</v>
      </c>
      <c r="F34" s="462">
        <v>35000</v>
      </c>
      <c r="G34" s="462">
        <v>79800</v>
      </c>
      <c r="H34" s="462">
        <v>79800</v>
      </c>
      <c r="I34" s="462">
        <v>45000</v>
      </c>
      <c r="J34" s="462">
        <v>40000</v>
      </c>
      <c r="K34" s="462">
        <v>247000</v>
      </c>
      <c r="L34" s="462">
        <v>117000</v>
      </c>
      <c r="M34" s="462">
        <f>((75000*0.05)+75000)*2</f>
        <v>157500</v>
      </c>
      <c r="N34" s="463">
        <v>100000</v>
      </c>
      <c r="O34" s="186">
        <f t="shared" si="2"/>
        <v>951770</v>
      </c>
      <c r="P34" s="464"/>
      <c r="AA34" s="221"/>
      <c r="AB34" s="221"/>
      <c r="AC34" s="221"/>
      <c r="AD34" s="221"/>
    </row>
    <row r="35" spans="2:30" s="465" customFormat="1" ht="19.7" customHeight="1" x14ac:dyDescent="0.25">
      <c r="B35" s="467">
        <v>4</v>
      </c>
      <c r="C35" s="453" t="s">
        <v>317</v>
      </c>
      <c r="D35" s="461">
        <v>20670</v>
      </c>
      <c r="E35" s="462">
        <v>30000</v>
      </c>
      <c r="F35" s="462">
        <v>35000</v>
      </c>
      <c r="G35" s="462">
        <v>79800</v>
      </c>
      <c r="H35" s="462">
        <v>79800</v>
      </c>
      <c r="I35" s="462">
        <v>45000</v>
      </c>
      <c r="J35" s="462">
        <v>40000</v>
      </c>
      <c r="K35" s="462">
        <v>247000</v>
      </c>
      <c r="L35" s="462">
        <v>117000</v>
      </c>
      <c r="M35" s="462">
        <f t="shared" ref="M35:M37" si="3">((75000*0.05)+75000)*2</f>
        <v>157500</v>
      </c>
      <c r="N35" s="463">
        <v>100000</v>
      </c>
      <c r="O35" s="186">
        <f t="shared" si="2"/>
        <v>951770</v>
      </c>
      <c r="P35" s="464"/>
      <c r="AA35" s="221"/>
      <c r="AB35" s="221"/>
      <c r="AC35" s="221"/>
      <c r="AD35" s="221"/>
    </row>
    <row r="36" spans="2:30" s="465" customFormat="1" ht="19.7" customHeight="1" x14ac:dyDescent="0.25">
      <c r="B36" s="467">
        <v>5</v>
      </c>
      <c r="C36" s="453" t="s">
        <v>318</v>
      </c>
      <c r="D36" s="461"/>
      <c r="E36" s="462"/>
      <c r="F36" s="462"/>
      <c r="G36" s="462"/>
      <c r="H36" s="462"/>
      <c r="I36" s="462"/>
      <c r="J36" s="462"/>
      <c r="K36" s="462"/>
      <c r="L36" s="462"/>
      <c r="M36" s="462"/>
      <c r="N36" s="463"/>
      <c r="O36" s="186">
        <f t="shared" si="2"/>
        <v>0</v>
      </c>
      <c r="P36" s="464"/>
      <c r="AA36" s="221"/>
      <c r="AB36" s="221"/>
      <c r="AC36" s="221"/>
      <c r="AD36" s="221"/>
    </row>
    <row r="37" spans="2:30" s="465" customFormat="1" ht="19.7" customHeight="1" x14ac:dyDescent="0.25">
      <c r="B37" s="467">
        <v>6</v>
      </c>
      <c r="C37" s="453" t="s">
        <v>319</v>
      </c>
      <c r="D37" s="461">
        <v>20670</v>
      </c>
      <c r="E37" s="462">
        <v>30000</v>
      </c>
      <c r="F37" s="462">
        <v>35000</v>
      </c>
      <c r="G37" s="462">
        <v>79800</v>
      </c>
      <c r="H37" s="462">
        <v>79800</v>
      </c>
      <c r="I37" s="462">
        <v>45000</v>
      </c>
      <c r="J37" s="462">
        <v>40000</v>
      </c>
      <c r="K37" s="462">
        <v>247000</v>
      </c>
      <c r="L37" s="462">
        <v>117000</v>
      </c>
      <c r="M37" s="462">
        <f t="shared" si="3"/>
        <v>157500</v>
      </c>
      <c r="N37" s="463">
        <v>100000</v>
      </c>
      <c r="O37" s="186">
        <f t="shared" si="2"/>
        <v>951770</v>
      </c>
      <c r="P37" s="464"/>
      <c r="AA37" s="221"/>
      <c r="AB37" s="221"/>
      <c r="AC37" s="221"/>
      <c r="AD37" s="221"/>
    </row>
    <row r="38" spans="2:30" s="465" customFormat="1" ht="19.7" customHeight="1" x14ac:dyDescent="0.25">
      <c r="B38" s="467">
        <v>7</v>
      </c>
      <c r="C38" s="453" t="s">
        <v>342</v>
      </c>
      <c r="D38" s="461"/>
      <c r="E38" s="462"/>
      <c r="F38" s="462"/>
      <c r="G38" s="462"/>
      <c r="H38" s="462"/>
      <c r="I38" s="462"/>
      <c r="J38" s="462"/>
      <c r="K38" s="462"/>
      <c r="L38" s="462"/>
      <c r="M38" s="462"/>
      <c r="N38" s="463"/>
      <c r="O38" s="186">
        <f t="shared" si="2"/>
        <v>0</v>
      </c>
      <c r="P38" s="464"/>
      <c r="AA38" s="221"/>
      <c r="AB38" s="221"/>
      <c r="AC38" s="221"/>
      <c r="AD38" s="221"/>
    </row>
    <row r="39" spans="2:30" s="472" customFormat="1" ht="19.7" customHeight="1" x14ac:dyDescent="0.25">
      <c r="B39" s="389"/>
      <c r="C39" s="192" t="s">
        <v>297</v>
      </c>
      <c r="D39" s="470">
        <f>SUM(D32:D38)</f>
        <v>62010</v>
      </c>
      <c r="E39" s="470">
        <f t="shared" ref="E39:O39" si="4">SUM(E32:E38)</f>
        <v>90000</v>
      </c>
      <c r="F39" s="470">
        <f t="shared" si="4"/>
        <v>105000</v>
      </c>
      <c r="G39" s="470">
        <f t="shared" si="4"/>
        <v>239400</v>
      </c>
      <c r="H39" s="470">
        <f t="shared" si="4"/>
        <v>239400</v>
      </c>
      <c r="I39" s="470">
        <f t="shared" si="4"/>
        <v>135000</v>
      </c>
      <c r="J39" s="470">
        <f t="shared" si="4"/>
        <v>120000</v>
      </c>
      <c r="K39" s="470">
        <f t="shared" si="4"/>
        <v>741000</v>
      </c>
      <c r="L39" s="470">
        <f t="shared" si="4"/>
        <v>351000</v>
      </c>
      <c r="M39" s="470">
        <f t="shared" si="4"/>
        <v>472500</v>
      </c>
      <c r="N39" s="470">
        <f t="shared" si="4"/>
        <v>300000</v>
      </c>
      <c r="O39" s="470">
        <f t="shared" si="4"/>
        <v>2855310</v>
      </c>
      <c r="P39" s="471"/>
      <c r="AA39" s="473"/>
      <c r="AB39" s="473"/>
      <c r="AC39" s="473"/>
      <c r="AD39" s="473"/>
    </row>
    <row r="40" spans="2:30" s="465" customFormat="1" ht="19.7" customHeight="1" x14ac:dyDescent="0.25">
      <c r="B40" s="468"/>
      <c r="L40" s="904" t="s">
        <v>560</v>
      </c>
      <c r="M40" s="905"/>
      <c r="N40" s="906"/>
      <c r="O40" s="466">
        <f>O39+Z5</f>
        <v>2855310</v>
      </c>
      <c r="P40" s="221"/>
      <c r="AA40" s="221"/>
      <c r="AB40" s="221"/>
      <c r="AC40" s="221"/>
      <c r="AD40" s="221"/>
    </row>
    <row r="41" spans="2:30" s="465" customFormat="1" ht="19.7" customHeight="1" x14ac:dyDescent="0.25">
      <c r="B41" s="468"/>
      <c r="L41" s="903" t="s">
        <v>159</v>
      </c>
      <c r="M41" s="903"/>
      <c r="N41" s="903"/>
      <c r="O41" s="285">
        <f>O40*0.16</f>
        <v>456849.60000000003</v>
      </c>
      <c r="AA41" s="221"/>
      <c r="AB41" s="221"/>
      <c r="AC41" s="221"/>
      <c r="AD41" s="221"/>
    </row>
    <row r="42" spans="2:30" s="465" customFormat="1" ht="19.7" customHeight="1" x14ac:dyDescent="0.25">
      <c r="B42" s="468"/>
      <c r="L42" s="903" t="s">
        <v>298</v>
      </c>
      <c r="M42" s="903"/>
      <c r="N42" s="903"/>
      <c r="O42" s="285">
        <f>SUM(O40:O41)</f>
        <v>3312159.6</v>
      </c>
      <c r="AA42" s="221"/>
      <c r="AB42" s="221"/>
      <c r="AC42" s="221"/>
      <c r="AD42" s="221"/>
    </row>
    <row r="43" spans="2:30" s="465" customFormat="1" ht="19.7" customHeight="1" x14ac:dyDescent="0.25">
      <c r="B43" s="468"/>
      <c r="L43" s="385"/>
      <c r="M43" s="385"/>
      <c r="N43" s="385"/>
      <c r="O43" s="469"/>
      <c r="AA43" s="221"/>
      <c r="AB43" s="221"/>
      <c r="AC43" s="221"/>
      <c r="AD43" s="221"/>
    </row>
    <row r="44" spans="2:30" s="465" customFormat="1" ht="19.7" customHeight="1" x14ac:dyDescent="0.25">
      <c r="B44" s="468"/>
      <c r="L44" s="903" t="s">
        <v>161</v>
      </c>
      <c r="M44" s="903"/>
      <c r="N44" s="903"/>
      <c r="O44" s="285">
        <f>+O42+P16</f>
        <v>206089236.59999999</v>
      </c>
      <c r="AA44" s="221"/>
      <c r="AB44" s="221"/>
      <c r="AC44" s="221"/>
      <c r="AD44" s="221"/>
    </row>
  </sheetData>
  <mergeCells count="9">
    <mergeCell ref="L44:N44"/>
    <mergeCell ref="L40:N40"/>
    <mergeCell ref="L41:N41"/>
    <mergeCell ref="L42:N42"/>
    <mergeCell ref="B3:P3"/>
    <mergeCell ref="N4:O4"/>
    <mergeCell ref="N14:O14"/>
    <mergeCell ref="N15:O15"/>
    <mergeCell ref="N16:O16"/>
  </mergeCells>
  <printOptions horizontalCentered="1"/>
  <pageMargins left="0.7" right="0.7" top="0.75" bottom="0.75" header="0.3" footer="0.3"/>
  <pageSetup paperSize="5" scale="95" orientation="landscape" r:id="rId1"/>
  <headerFooter>
    <oddFooter xml:space="preserve">&amp;C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00B0F0"/>
  </sheetPr>
  <dimension ref="B3:O118"/>
  <sheetViews>
    <sheetView view="pageLayout" zoomScale="80" zoomScaleNormal="100" zoomScalePageLayoutView="80" workbookViewId="0">
      <selection activeCell="K26" sqref="K26"/>
    </sheetView>
  </sheetViews>
  <sheetFormatPr baseColWidth="10" defaultRowHeight="12" x14ac:dyDescent="0.25"/>
  <cols>
    <col min="1" max="1" width="11.42578125" style="322"/>
    <col min="2" max="2" width="5.42578125" style="322" customWidth="1"/>
    <col min="3" max="3" width="28.140625" style="322" customWidth="1"/>
    <col min="4" max="4" width="11.42578125" style="477"/>
    <col min="5" max="5" width="11.42578125" style="322"/>
    <col min="6" max="6" width="9.42578125" style="477" customWidth="1"/>
    <col min="7" max="7" width="14.42578125" style="322" customWidth="1"/>
    <col min="8" max="8" width="12.42578125" style="477" customWidth="1"/>
    <col min="9" max="9" width="14" style="322" customWidth="1"/>
    <col min="10" max="10" width="12.7109375" style="477" customWidth="1"/>
    <col min="11" max="11" width="11.85546875" style="322" customWidth="1"/>
    <col min="12" max="12" width="11.42578125" style="477"/>
    <col min="13" max="13" width="9.7109375" style="322" customWidth="1"/>
    <col min="14" max="14" width="11.140625" style="477" customWidth="1"/>
    <col min="15" max="15" width="15" style="322" customWidth="1"/>
    <col min="16" max="16384" width="11.42578125" style="322"/>
  </cols>
  <sheetData>
    <row r="3" spans="2:15" ht="18" customHeight="1" x14ac:dyDescent="0.25">
      <c r="B3" s="914" t="s">
        <v>232</v>
      </c>
      <c r="C3" s="914"/>
      <c r="D3" s="914"/>
      <c r="E3" s="914"/>
      <c r="F3" s="914"/>
      <c r="G3" s="914"/>
      <c r="H3" s="914"/>
      <c r="I3" s="914"/>
      <c r="J3" s="914"/>
      <c r="K3" s="914"/>
      <c r="L3" s="914"/>
      <c r="M3" s="914"/>
      <c r="N3" s="914"/>
      <c r="O3" s="914"/>
    </row>
    <row r="4" spans="2:15" ht="18" customHeight="1" x14ac:dyDescent="0.25">
      <c r="B4" s="872" t="s">
        <v>1777</v>
      </c>
      <c r="C4" s="872"/>
      <c r="D4" s="872"/>
      <c r="E4" s="872"/>
      <c r="F4" s="872"/>
      <c r="G4" s="872"/>
      <c r="H4" s="872"/>
      <c r="I4" s="872"/>
      <c r="J4" s="872"/>
      <c r="K4" s="872"/>
      <c r="L4" s="872"/>
      <c r="M4" s="872"/>
      <c r="N4" s="872"/>
      <c r="O4" s="872"/>
    </row>
    <row r="5" spans="2:15" ht="18" customHeight="1" x14ac:dyDescent="0.25">
      <c r="B5" s="867" t="s">
        <v>343</v>
      </c>
      <c r="C5" s="867"/>
      <c r="D5" s="867"/>
      <c r="E5" s="867"/>
      <c r="F5" s="867"/>
      <c r="G5" s="867"/>
      <c r="H5" s="867"/>
      <c r="I5" s="867"/>
      <c r="J5" s="867"/>
      <c r="K5" s="867"/>
      <c r="L5" s="867"/>
      <c r="M5" s="867"/>
      <c r="N5" s="867"/>
      <c r="O5" s="867"/>
    </row>
    <row r="6" spans="2:15" ht="18" customHeight="1" x14ac:dyDescent="0.25">
      <c r="B6" s="867" t="s">
        <v>344</v>
      </c>
      <c r="C6" s="867"/>
      <c r="D6" s="867"/>
      <c r="E6" s="867"/>
      <c r="F6" s="867"/>
      <c r="G6" s="867"/>
      <c r="H6" s="867"/>
      <c r="I6" s="867"/>
      <c r="J6" s="867"/>
      <c r="K6" s="867"/>
      <c r="L6" s="867"/>
      <c r="M6" s="867"/>
      <c r="N6" s="867"/>
      <c r="O6" s="867"/>
    </row>
    <row r="7" spans="2:15" ht="57" customHeight="1" x14ac:dyDescent="0.25">
      <c r="B7" s="867"/>
      <c r="C7" s="867"/>
      <c r="D7" s="867"/>
      <c r="E7" s="867"/>
      <c r="F7" s="867"/>
      <c r="G7" s="867"/>
      <c r="H7" s="529" t="s">
        <v>345</v>
      </c>
      <c r="I7" s="915" t="s">
        <v>349</v>
      </c>
      <c r="J7" s="915" t="s">
        <v>350</v>
      </c>
      <c r="K7" s="877" t="s">
        <v>1778</v>
      </c>
      <c r="L7" s="917"/>
      <c r="M7" s="917"/>
      <c r="N7" s="878"/>
      <c r="O7" s="915" t="s">
        <v>351</v>
      </c>
    </row>
    <row r="8" spans="2:15" s="477" customFormat="1" ht="164.25" customHeight="1" x14ac:dyDescent="0.25">
      <c r="B8" s="480" t="s">
        <v>346</v>
      </c>
      <c r="C8" s="379" t="s">
        <v>347</v>
      </c>
      <c r="D8" s="383" t="s">
        <v>1779</v>
      </c>
      <c r="E8" s="383" t="s">
        <v>1780</v>
      </c>
      <c r="F8" s="383" t="s">
        <v>1781</v>
      </c>
      <c r="G8" s="383" t="s">
        <v>1782</v>
      </c>
      <c r="H8" s="383" t="s">
        <v>348</v>
      </c>
      <c r="I8" s="916"/>
      <c r="J8" s="916"/>
      <c r="K8" s="383" t="s">
        <v>1783</v>
      </c>
      <c r="L8" s="383" t="s">
        <v>1784</v>
      </c>
      <c r="M8" s="383" t="s">
        <v>1785</v>
      </c>
      <c r="N8" s="383" t="s">
        <v>1784</v>
      </c>
      <c r="O8" s="916"/>
    </row>
    <row r="9" spans="2:15" ht="18" customHeight="1" x14ac:dyDescent="0.25">
      <c r="B9" s="380">
        <v>1</v>
      </c>
      <c r="C9" s="147" t="s">
        <v>241</v>
      </c>
      <c r="D9" s="380"/>
      <c r="E9" s="372"/>
      <c r="F9" s="380">
        <v>4</v>
      </c>
      <c r="G9" s="204">
        <v>8000000</v>
      </c>
      <c r="H9" s="380">
        <v>0</v>
      </c>
      <c r="I9" s="373">
        <v>12000000</v>
      </c>
      <c r="J9" s="345">
        <v>95000</v>
      </c>
      <c r="K9" s="204">
        <v>1</v>
      </c>
      <c r="L9" s="345">
        <v>182000</v>
      </c>
      <c r="M9" s="204"/>
      <c r="N9" s="345">
        <v>210000</v>
      </c>
      <c r="O9" s="204">
        <v>520000</v>
      </c>
    </row>
    <row r="10" spans="2:15" ht="18" customHeight="1" x14ac:dyDescent="0.25">
      <c r="B10" s="380">
        <v>2</v>
      </c>
      <c r="C10" s="147" t="s">
        <v>242</v>
      </c>
      <c r="D10" s="380"/>
      <c r="E10" s="372"/>
      <c r="F10" s="380">
        <v>8</v>
      </c>
      <c r="G10" s="204">
        <v>16000000</v>
      </c>
      <c r="H10" s="380">
        <v>0</v>
      </c>
      <c r="I10" s="373">
        <v>12000000</v>
      </c>
      <c r="J10" s="345">
        <v>95000</v>
      </c>
      <c r="K10" s="204"/>
      <c r="L10" s="345"/>
      <c r="M10" s="204"/>
      <c r="N10" s="345"/>
      <c r="O10" s="204">
        <v>520000</v>
      </c>
    </row>
    <row r="11" spans="2:15" ht="18" customHeight="1" x14ac:dyDescent="0.25">
      <c r="B11" s="380">
        <v>3</v>
      </c>
      <c r="C11" s="147" t="s">
        <v>1786</v>
      </c>
      <c r="D11" s="380"/>
      <c r="E11" s="372"/>
      <c r="F11" s="380"/>
      <c r="G11" s="204"/>
      <c r="H11" s="380"/>
      <c r="I11" s="373"/>
      <c r="J11" s="345"/>
      <c r="K11" s="204"/>
      <c r="L11" s="345"/>
      <c r="M11" s="204"/>
      <c r="N11" s="345"/>
      <c r="O11" s="204"/>
    </row>
    <row r="12" spans="2:15" ht="18" customHeight="1" x14ac:dyDescent="0.25">
      <c r="B12" s="380">
        <v>4</v>
      </c>
      <c r="C12" s="147" t="s">
        <v>1787</v>
      </c>
      <c r="D12" s="380"/>
      <c r="E12" s="372"/>
      <c r="F12" s="380"/>
      <c r="G12" s="204"/>
      <c r="H12" s="380"/>
      <c r="I12" s="373"/>
      <c r="J12" s="345"/>
      <c r="K12" s="204"/>
      <c r="L12" s="345"/>
      <c r="M12" s="204"/>
      <c r="N12" s="345"/>
      <c r="O12" s="204"/>
    </row>
    <row r="13" spans="2:15" ht="18" customHeight="1" x14ac:dyDescent="0.25">
      <c r="B13" s="380">
        <v>5</v>
      </c>
      <c r="C13" s="147" t="s">
        <v>244</v>
      </c>
      <c r="D13" s="380"/>
      <c r="E13" s="372"/>
      <c r="F13" s="380">
        <v>4</v>
      </c>
      <c r="G13" s="204">
        <v>8000000</v>
      </c>
      <c r="H13" s="380">
        <v>0</v>
      </c>
      <c r="I13" s="373">
        <v>12000000</v>
      </c>
      <c r="J13" s="345">
        <v>95000</v>
      </c>
      <c r="K13" s="204"/>
      <c r="L13" s="345"/>
      <c r="M13" s="204"/>
      <c r="N13" s="345"/>
      <c r="O13" s="204">
        <v>520000</v>
      </c>
    </row>
    <row r="14" spans="2:15" ht="18" customHeight="1" x14ac:dyDescent="0.25">
      <c r="B14" s="380">
        <v>6</v>
      </c>
      <c r="C14" s="147" t="s">
        <v>316</v>
      </c>
      <c r="D14" s="380"/>
      <c r="E14" s="372"/>
      <c r="F14" s="380">
        <v>4</v>
      </c>
      <c r="G14" s="204">
        <v>8000000</v>
      </c>
      <c r="H14" s="380">
        <v>0</v>
      </c>
      <c r="I14" s="373">
        <v>12000000</v>
      </c>
      <c r="J14" s="345">
        <v>95000</v>
      </c>
      <c r="K14" s="204"/>
      <c r="L14" s="345"/>
      <c r="M14" s="204"/>
      <c r="N14" s="345"/>
      <c r="O14" s="204">
        <v>520000</v>
      </c>
    </row>
    <row r="15" spans="2:15" ht="18" customHeight="1" x14ac:dyDescent="0.25">
      <c r="B15" s="380">
        <v>7</v>
      </c>
      <c r="C15" s="147" t="s">
        <v>246</v>
      </c>
      <c r="D15" s="380"/>
      <c r="E15" s="372"/>
      <c r="F15" s="380">
        <v>4</v>
      </c>
      <c r="G15" s="204">
        <v>8000000</v>
      </c>
      <c r="H15" s="380">
        <v>0</v>
      </c>
      <c r="I15" s="373">
        <v>12000000</v>
      </c>
      <c r="J15" s="345">
        <v>95000</v>
      </c>
      <c r="K15" s="204">
        <v>1</v>
      </c>
      <c r="L15" s="345">
        <v>182000</v>
      </c>
      <c r="M15" s="204"/>
      <c r="N15" s="345"/>
      <c r="O15" s="204">
        <v>520000</v>
      </c>
    </row>
    <row r="16" spans="2:15" ht="18" customHeight="1" x14ac:dyDescent="0.25">
      <c r="B16" s="380">
        <v>8</v>
      </c>
      <c r="C16" s="147" t="s">
        <v>247</v>
      </c>
      <c r="D16" s="380"/>
      <c r="E16" s="372"/>
      <c r="F16" s="380">
        <v>4</v>
      </c>
      <c r="G16" s="204">
        <v>8000000</v>
      </c>
      <c r="H16" s="380">
        <v>0</v>
      </c>
      <c r="I16" s="373">
        <v>12000000</v>
      </c>
      <c r="J16" s="345">
        <v>95000</v>
      </c>
      <c r="K16" s="204"/>
      <c r="L16" s="345"/>
      <c r="M16" s="204"/>
      <c r="N16" s="345"/>
      <c r="O16" s="204">
        <v>520000</v>
      </c>
    </row>
    <row r="17" spans="2:15" ht="18" customHeight="1" x14ac:dyDescent="0.25">
      <c r="B17" s="380">
        <v>9</v>
      </c>
      <c r="C17" s="147" t="s">
        <v>249</v>
      </c>
      <c r="D17" s="380"/>
      <c r="E17" s="372"/>
      <c r="F17" s="380">
        <v>3</v>
      </c>
      <c r="G17" s="204">
        <v>6000000</v>
      </c>
      <c r="H17" s="380">
        <v>0</v>
      </c>
      <c r="I17" s="373">
        <v>12000000</v>
      </c>
      <c r="J17" s="345">
        <v>95000</v>
      </c>
      <c r="K17" s="204"/>
      <c r="L17" s="345"/>
      <c r="M17" s="204"/>
      <c r="N17" s="345"/>
      <c r="O17" s="204">
        <v>520000</v>
      </c>
    </row>
    <row r="18" spans="2:15" ht="18" customHeight="1" x14ac:dyDescent="0.25">
      <c r="B18" s="380">
        <v>10</v>
      </c>
      <c r="C18" s="147" t="s">
        <v>250</v>
      </c>
      <c r="D18" s="380"/>
      <c r="E18" s="372"/>
      <c r="F18" s="380">
        <v>3</v>
      </c>
      <c r="G18" s="204">
        <v>6000000</v>
      </c>
      <c r="H18" s="380">
        <v>0</v>
      </c>
      <c r="I18" s="373">
        <v>12000000</v>
      </c>
      <c r="J18" s="345">
        <v>95000</v>
      </c>
      <c r="K18" s="204">
        <v>2</v>
      </c>
      <c r="L18" s="345">
        <v>182000</v>
      </c>
      <c r="M18" s="204"/>
      <c r="N18" s="345"/>
      <c r="O18" s="204">
        <v>520000</v>
      </c>
    </row>
    <row r="19" spans="2:15" ht="18" customHeight="1" x14ac:dyDescent="0.25">
      <c r="B19" s="380">
        <v>11</v>
      </c>
      <c r="C19" s="147" t="s">
        <v>251</v>
      </c>
      <c r="D19" s="380"/>
      <c r="E19" s="372"/>
      <c r="F19" s="380">
        <v>3</v>
      </c>
      <c r="G19" s="204">
        <v>6000000</v>
      </c>
      <c r="H19" s="380">
        <v>0</v>
      </c>
      <c r="I19" s="373">
        <v>12000000</v>
      </c>
      <c r="J19" s="345">
        <v>95000</v>
      </c>
      <c r="K19" s="204"/>
      <c r="L19" s="345"/>
      <c r="M19" s="204"/>
      <c r="N19" s="345"/>
      <c r="O19" s="204">
        <v>520000</v>
      </c>
    </row>
    <row r="20" spans="2:15" ht="18" customHeight="1" x14ac:dyDescent="0.25">
      <c r="B20" s="380">
        <v>12</v>
      </c>
      <c r="C20" s="147" t="s">
        <v>252</v>
      </c>
      <c r="D20" s="380"/>
      <c r="E20" s="372"/>
      <c r="F20" s="380">
        <v>4</v>
      </c>
      <c r="G20" s="204">
        <v>8000000</v>
      </c>
      <c r="H20" s="380">
        <v>0</v>
      </c>
      <c r="I20" s="373">
        <v>12000000</v>
      </c>
      <c r="J20" s="345">
        <v>95000</v>
      </c>
      <c r="K20" s="204"/>
      <c r="L20" s="345"/>
      <c r="M20" s="204"/>
      <c r="N20" s="345"/>
      <c r="O20" s="204">
        <v>520000</v>
      </c>
    </row>
    <row r="21" spans="2:15" ht="18" customHeight="1" x14ac:dyDescent="0.25">
      <c r="B21" s="380">
        <v>13</v>
      </c>
      <c r="C21" s="147" t="s">
        <v>354</v>
      </c>
      <c r="D21" s="380"/>
      <c r="E21" s="372"/>
      <c r="F21" s="380">
        <v>4</v>
      </c>
      <c r="G21" s="204">
        <v>8000000</v>
      </c>
      <c r="H21" s="380">
        <v>0</v>
      </c>
      <c r="I21" s="373">
        <v>12000000</v>
      </c>
      <c r="J21" s="345">
        <v>95000</v>
      </c>
      <c r="K21" s="204">
        <v>2</v>
      </c>
      <c r="L21" s="345">
        <v>182000</v>
      </c>
      <c r="M21" s="204"/>
      <c r="N21" s="345"/>
      <c r="O21" s="204">
        <v>520000</v>
      </c>
    </row>
    <row r="22" spans="2:15" ht="18" customHeight="1" x14ac:dyDescent="0.25">
      <c r="B22" s="380">
        <v>14</v>
      </c>
      <c r="C22" s="147" t="s">
        <v>355</v>
      </c>
      <c r="D22" s="380"/>
      <c r="E22" s="372"/>
      <c r="F22" s="380">
        <v>2</v>
      </c>
      <c r="G22" s="204">
        <v>4000000</v>
      </c>
      <c r="H22" s="380">
        <v>0</v>
      </c>
      <c r="I22" s="373">
        <v>12000000</v>
      </c>
      <c r="J22" s="345">
        <v>95000</v>
      </c>
      <c r="K22" s="204"/>
      <c r="L22" s="345"/>
      <c r="M22" s="204"/>
      <c r="N22" s="345"/>
      <c r="O22" s="204">
        <v>520000</v>
      </c>
    </row>
    <row r="23" spans="2:15" ht="18" customHeight="1" x14ac:dyDescent="0.25">
      <c r="B23" s="380">
        <v>15</v>
      </c>
      <c r="C23" s="147" t="s">
        <v>255</v>
      </c>
      <c r="D23" s="380"/>
      <c r="E23" s="372"/>
      <c r="F23" s="380">
        <v>2</v>
      </c>
      <c r="G23" s="204">
        <v>6000000</v>
      </c>
      <c r="H23" s="380">
        <v>0</v>
      </c>
      <c r="I23" s="373">
        <v>12000000</v>
      </c>
      <c r="J23" s="345">
        <v>95000</v>
      </c>
      <c r="K23" s="204"/>
      <c r="L23" s="345"/>
      <c r="M23" s="204"/>
      <c r="N23" s="345"/>
      <c r="O23" s="204">
        <v>520000</v>
      </c>
    </row>
    <row r="24" spans="2:15" ht="18" customHeight="1" x14ac:dyDescent="0.25">
      <c r="B24" s="380">
        <v>16</v>
      </c>
      <c r="C24" s="147" t="s">
        <v>256</v>
      </c>
      <c r="D24" s="380"/>
      <c r="E24" s="372"/>
      <c r="F24" s="380">
        <v>1</v>
      </c>
      <c r="G24" s="204">
        <v>2000000</v>
      </c>
      <c r="H24" s="380">
        <v>0</v>
      </c>
      <c r="I24" s="373">
        <v>12000000</v>
      </c>
      <c r="J24" s="345">
        <v>95000</v>
      </c>
      <c r="K24" s="204">
        <v>2</v>
      </c>
      <c r="L24" s="345">
        <v>182000</v>
      </c>
      <c r="M24" s="204"/>
      <c r="N24" s="345"/>
      <c r="O24" s="204">
        <v>520000</v>
      </c>
    </row>
    <row r="25" spans="2:15" ht="18" customHeight="1" x14ac:dyDescent="0.25">
      <c r="B25" s="502"/>
      <c r="C25" s="526"/>
      <c r="D25" s="502"/>
      <c r="E25" s="530"/>
      <c r="F25" s="502"/>
      <c r="G25" s="343"/>
      <c r="H25" s="502"/>
      <c r="I25" s="531"/>
      <c r="J25" s="346"/>
      <c r="K25" s="343"/>
      <c r="L25" s="346"/>
      <c r="M25" s="343"/>
      <c r="N25" s="346"/>
      <c r="O25" s="343"/>
    </row>
    <row r="26" spans="2:15" ht="18" customHeight="1" x14ac:dyDescent="0.25">
      <c r="B26" s="503"/>
      <c r="C26" s="418"/>
      <c r="D26" s="503"/>
      <c r="E26" s="479"/>
      <c r="F26" s="503"/>
      <c r="G26" s="403"/>
      <c r="H26" s="503"/>
      <c r="I26" s="456"/>
      <c r="J26" s="457"/>
      <c r="K26" s="403"/>
      <c r="L26" s="457"/>
      <c r="M26" s="403"/>
      <c r="N26" s="457"/>
      <c r="O26" s="403"/>
    </row>
    <row r="27" spans="2:15" ht="18" customHeight="1" x14ac:dyDescent="0.25">
      <c r="B27" s="503"/>
      <c r="C27" s="418"/>
      <c r="D27" s="503"/>
      <c r="E27" s="479"/>
      <c r="F27" s="503"/>
      <c r="G27" s="403"/>
      <c r="H27" s="503"/>
      <c r="I27" s="456"/>
      <c r="J27" s="457"/>
      <c r="K27" s="403"/>
      <c r="L27" s="457"/>
      <c r="M27" s="403"/>
      <c r="N27" s="457"/>
      <c r="O27" s="403"/>
    </row>
    <row r="28" spans="2:15" ht="18" customHeight="1" x14ac:dyDescent="0.25">
      <c r="B28" s="503"/>
      <c r="C28" s="418"/>
      <c r="D28" s="503"/>
      <c r="E28" s="479"/>
      <c r="F28" s="503"/>
      <c r="G28" s="403"/>
      <c r="H28" s="503"/>
      <c r="I28" s="456"/>
      <c r="J28" s="457"/>
      <c r="K28" s="403"/>
      <c r="L28" s="457"/>
      <c r="M28" s="403"/>
      <c r="N28" s="457"/>
      <c r="O28" s="403"/>
    </row>
    <row r="29" spans="2:15" ht="18" customHeight="1" x14ac:dyDescent="0.25">
      <c r="B29" s="497">
        <v>17</v>
      </c>
      <c r="C29" s="147" t="s">
        <v>257</v>
      </c>
      <c r="D29" s="497"/>
      <c r="E29" s="372"/>
      <c r="F29" s="497">
        <v>1</v>
      </c>
      <c r="G29" s="204">
        <v>4000000</v>
      </c>
      <c r="H29" s="497">
        <v>0</v>
      </c>
      <c r="I29" s="373">
        <v>12000000</v>
      </c>
      <c r="J29" s="345">
        <v>95000</v>
      </c>
      <c r="K29" s="204"/>
      <c r="L29" s="345"/>
      <c r="M29" s="204"/>
      <c r="N29" s="345"/>
      <c r="O29" s="204">
        <v>520000</v>
      </c>
    </row>
    <row r="30" spans="2:15" s="257" customFormat="1" ht="18" customHeight="1" x14ac:dyDescent="0.25">
      <c r="B30" s="497">
        <v>18</v>
      </c>
      <c r="C30" s="147" t="s">
        <v>356</v>
      </c>
      <c r="D30" s="497"/>
      <c r="E30" s="372"/>
      <c r="F30" s="497">
        <v>4</v>
      </c>
      <c r="G30" s="204">
        <v>8000000</v>
      </c>
      <c r="H30" s="497">
        <v>0</v>
      </c>
      <c r="I30" s="373">
        <v>12000000</v>
      </c>
      <c r="J30" s="345">
        <v>95000</v>
      </c>
      <c r="K30" s="204"/>
      <c r="L30" s="345"/>
      <c r="M30" s="204"/>
      <c r="N30" s="345"/>
      <c r="O30" s="204">
        <v>520000</v>
      </c>
    </row>
    <row r="31" spans="2:15" ht="18" customHeight="1" x14ac:dyDescent="0.25">
      <c r="B31" s="497">
        <v>19</v>
      </c>
      <c r="C31" s="147" t="s">
        <v>357</v>
      </c>
      <c r="D31" s="497"/>
      <c r="E31" s="372"/>
      <c r="F31" s="497">
        <v>12</v>
      </c>
      <c r="G31" s="204">
        <v>24000000</v>
      </c>
      <c r="H31" s="497">
        <v>0</v>
      </c>
      <c r="I31" s="373">
        <v>55000000</v>
      </c>
      <c r="J31" s="345">
        <v>95000</v>
      </c>
      <c r="K31" s="204"/>
      <c r="L31" s="345"/>
      <c r="M31" s="204"/>
      <c r="N31" s="345"/>
      <c r="O31" s="204">
        <v>520000</v>
      </c>
    </row>
    <row r="32" spans="2:15" ht="18" customHeight="1" x14ac:dyDescent="0.25">
      <c r="B32" s="497">
        <v>20</v>
      </c>
      <c r="C32" s="147" t="s">
        <v>570</v>
      </c>
      <c r="D32" s="497"/>
      <c r="E32" s="372"/>
      <c r="F32" s="497">
        <v>4</v>
      </c>
      <c r="G32" s="204">
        <v>8000000</v>
      </c>
      <c r="H32" s="497">
        <v>0</v>
      </c>
      <c r="I32" s="373">
        <v>12000000</v>
      </c>
      <c r="J32" s="345">
        <v>95000</v>
      </c>
      <c r="K32" s="204"/>
      <c r="L32" s="345"/>
      <c r="M32" s="204"/>
      <c r="N32" s="345"/>
      <c r="O32" s="204">
        <v>520000</v>
      </c>
    </row>
    <row r="33" spans="2:15" ht="18" customHeight="1" x14ac:dyDescent="0.25">
      <c r="B33" s="497">
        <v>21</v>
      </c>
      <c r="C33" s="147" t="s">
        <v>261</v>
      </c>
      <c r="D33" s="497"/>
      <c r="E33" s="372"/>
      <c r="F33" s="497">
        <v>3</v>
      </c>
      <c r="G33" s="204">
        <v>6000000</v>
      </c>
      <c r="H33" s="497">
        <v>0</v>
      </c>
      <c r="I33" s="373">
        <v>12000000</v>
      </c>
      <c r="J33" s="345">
        <v>95000</v>
      </c>
      <c r="K33" s="204"/>
      <c r="L33" s="345"/>
      <c r="M33" s="204"/>
      <c r="N33" s="345"/>
      <c r="O33" s="204">
        <v>520000</v>
      </c>
    </row>
    <row r="34" spans="2:15" ht="18" customHeight="1" x14ac:dyDescent="0.25">
      <c r="B34" s="497">
        <v>22</v>
      </c>
      <c r="C34" s="147" t="s">
        <v>262</v>
      </c>
      <c r="D34" s="497"/>
      <c r="E34" s="372"/>
      <c r="F34" s="497">
        <v>2</v>
      </c>
      <c r="G34" s="204">
        <v>4000000</v>
      </c>
      <c r="H34" s="497">
        <v>0</v>
      </c>
      <c r="I34" s="373">
        <v>12000000</v>
      </c>
      <c r="J34" s="345">
        <v>95000</v>
      </c>
      <c r="K34" s="204"/>
      <c r="L34" s="345"/>
      <c r="M34" s="204"/>
      <c r="N34" s="345"/>
      <c r="O34" s="204">
        <v>520000</v>
      </c>
    </row>
    <row r="35" spans="2:15" ht="18" customHeight="1" x14ac:dyDescent="0.25">
      <c r="B35" s="380">
        <v>23</v>
      </c>
      <c r="C35" s="147" t="s">
        <v>263</v>
      </c>
      <c r="D35" s="380"/>
      <c r="E35" s="372"/>
      <c r="F35" s="380">
        <v>1</v>
      </c>
      <c r="G35" s="204">
        <v>4000000</v>
      </c>
      <c r="H35" s="380">
        <v>0</v>
      </c>
      <c r="I35" s="373">
        <v>12000000</v>
      </c>
      <c r="J35" s="345">
        <v>95000</v>
      </c>
      <c r="K35" s="204"/>
      <c r="L35" s="345"/>
      <c r="M35" s="204"/>
      <c r="N35" s="345"/>
      <c r="O35" s="204">
        <v>520000</v>
      </c>
    </row>
    <row r="36" spans="2:15" ht="18" customHeight="1" x14ac:dyDescent="0.25">
      <c r="B36" s="380">
        <v>24</v>
      </c>
      <c r="C36" s="147" t="s">
        <v>264</v>
      </c>
      <c r="D36" s="380"/>
      <c r="E36" s="372"/>
      <c r="F36" s="380">
        <v>3</v>
      </c>
      <c r="G36" s="204">
        <v>6000000</v>
      </c>
      <c r="H36" s="380">
        <v>0</v>
      </c>
      <c r="I36" s="373">
        <v>12000000</v>
      </c>
      <c r="J36" s="345">
        <v>95000</v>
      </c>
      <c r="K36" s="204"/>
      <c r="L36" s="345"/>
      <c r="M36" s="204"/>
      <c r="N36" s="345"/>
      <c r="O36" s="204">
        <v>520000</v>
      </c>
    </row>
    <row r="37" spans="2:15" ht="18" customHeight="1" x14ac:dyDescent="0.25">
      <c r="B37" s="380">
        <v>25</v>
      </c>
      <c r="C37" s="147" t="s">
        <v>265</v>
      </c>
      <c r="D37" s="380"/>
      <c r="E37" s="372"/>
      <c r="F37" s="380">
        <v>5</v>
      </c>
      <c r="G37" s="204">
        <v>10000000</v>
      </c>
      <c r="H37" s="380">
        <v>0</v>
      </c>
      <c r="I37" s="373">
        <v>55000000</v>
      </c>
      <c r="J37" s="345">
        <v>1200000</v>
      </c>
      <c r="K37" s="204">
        <v>2</v>
      </c>
      <c r="L37" s="345">
        <v>182000</v>
      </c>
      <c r="M37" s="204">
        <v>2</v>
      </c>
      <c r="N37" s="345">
        <v>210000</v>
      </c>
      <c r="O37" s="204">
        <v>520000</v>
      </c>
    </row>
    <row r="38" spans="2:15" ht="18" customHeight="1" x14ac:dyDescent="0.25">
      <c r="B38" s="380">
        <v>26</v>
      </c>
      <c r="C38" s="147" t="s">
        <v>266</v>
      </c>
      <c r="D38" s="380"/>
      <c r="E38" s="372"/>
      <c r="F38" s="380">
        <v>1</v>
      </c>
      <c r="G38" s="204">
        <v>2000000</v>
      </c>
      <c r="H38" s="380">
        <v>0</v>
      </c>
      <c r="I38" s="373">
        <v>12000000</v>
      </c>
      <c r="J38" s="345">
        <v>95000</v>
      </c>
      <c r="K38" s="204"/>
      <c r="L38" s="345"/>
      <c r="M38" s="204"/>
      <c r="N38" s="345"/>
      <c r="O38" s="204">
        <v>520000</v>
      </c>
    </row>
    <row r="39" spans="2:15" ht="18" customHeight="1" x14ac:dyDescent="0.25">
      <c r="B39" s="380">
        <v>27</v>
      </c>
      <c r="C39" s="147" t="s">
        <v>267</v>
      </c>
      <c r="D39" s="380"/>
      <c r="E39" s="372"/>
      <c r="F39" s="380">
        <v>1</v>
      </c>
      <c r="G39" s="204">
        <v>4000000</v>
      </c>
      <c r="H39" s="380">
        <v>0</v>
      </c>
      <c r="I39" s="373">
        <v>12000000</v>
      </c>
      <c r="J39" s="345">
        <v>95000</v>
      </c>
      <c r="K39" s="204"/>
      <c r="L39" s="345"/>
      <c r="M39" s="204"/>
      <c r="N39" s="345"/>
      <c r="O39" s="204">
        <v>520000</v>
      </c>
    </row>
    <row r="40" spans="2:15" ht="18" customHeight="1" x14ac:dyDescent="0.25">
      <c r="B40" s="380">
        <v>28</v>
      </c>
      <c r="C40" s="147" t="s">
        <v>268</v>
      </c>
      <c r="D40" s="380"/>
      <c r="E40" s="372"/>
      <c r="F40" s="380">
        <v>2</v>
      </c>
      <c r="G40" s="204">
        <v>4000000</v>
      </c>
      <c r="H40" s="380">
        <v>0</v>
      </c>
      <c r="I40" s="373">
        <v>12000000</v>
      </c>
      <c r="J40" s="345">
        <v>95000</v>
      </c>
      <c r="K40" s="204"/>
      <c r="L40" s="345"/>
      <c r="M40" s="204"/>
      <c r="N40" s="345"/>
      <c r="O40" s="204">
        <v>520000</v>
      </c>
    </row>
    <row r="41" spans="2:15" ht="18" customHeight="1" x14ac:dyDescent="0.25">
      <c r="B41" s="380">
        <v>29</v>
      </c>
      <c r="C41" s="147" t="s">
        <v>269</v>
      </c>
      <c r="D41" s="380"/>
      <c r="E41" s="372"/>
      <c r="F41" s="380">
        <v>1</v>
      </c>
      <c r="G41" s="204">
        <v>4000000</v>
      </c>
      <c r="H41" s="380">
        <v>0</v>
      </c>
      <c r="I41" s="373">
        <v>12000000</v>
      </c>
      <c r="J41" s="345">
        <v>95000</v>
      </c>
      <c r="K41" s="204"/>
      <c r="L41" s="345"/>
      <c r="M41" s="204"/>
      <c r="N41" s="345"/>
      <c r="O41" s="204">
        <v>520000</v>
      </c>
    </row>
    <row r="42" spans="2:15" ht="18" customHeight="1" x14ac:dyDescent="0.25">
      <c r="B42" s="380">
        <v>30</v>
      </c>
      <c r="C42" s="147" t="s">
        <v>270</v>
      </c>
      <c r="D42" s="380"/>
      <c r="E42" s="372"/>
      <c r="F42" s="380">
        <v>2</v>
      </c>
      <c r="G42" s="204">
        <v>4000000</v>
      </c>
      <c r="H42" s="380">
        <v>0</v>
      </c>
      <c r="I42" s="373">
        <v>12000000</v>
      </c>
      <c r="J42" s="345">
        <v>95000</v>
      </c>
      <c r="K42" s="204"/>
      <c r="L42" s="345"/>
      <c r="M42" s="204"/>
      <c r="N42" s="345"/>
      <c r="O42" s="204">
        <v>520000</v>
      </c>
    </row>
    <row r="43" spans="2:15" ht="18" customHeight="1" x14ac:dyDescent="0.25">
      <c r="B43" s="380">
        <v>31</v>
      </c>
      <c r="C43" s="147" t="s">
        <v>271</v>
      </c>
      <c r="D43" s="380"/>
      <c r="E43" s="372"/>
      <c r="F43" s="380">
        <v>3</v>
      </c>
      <c r="G43" s="204">
        <v>6000000</v>
      </c>
      <c r="H43" s="380">
        <v>0</v>
      </c>
      <c r="I43" s="373">
        <v>12000000</v>
      </c>
      <c r="J43" s="345">
        <v>95000</v>
      </c>
      <c r="K43" s="204"/>
      <c r="L43" s="345"/>
      <c r="M43" s="204"/>
      <c r="N43" s="345"/>
      <c r="O43" s="204">
        <v>520000</v>
      </c>
    </row>
    <row r="44" spans="2:15" ht="18" customHeight="1" x14ac:dyDescent="0.25">
      <c r="B44" s="380">
        <v>32</v>
      </c>
      <c r="C44" s="147" t="s">
        <v>358</v>
      </c>
      <c r="D44" s="380"/>
      <c r="E44" s="372"/>
      <c r="F44" s="380">
        <v>4</v>
      </c>
      <c r="G44" s="204">
        <v>8000000</v>
      </c>
      <c r="H44" s="380">
        <v>0</v>
      </c>
      <c r="I44" s="373">
        <v>12000000</v>
      </c>
      <c r="J44" s="345">
        <v>95000</v>
      </c>
      <c r="K44" s="204"/>
      <c r="L44" s="345"/>
      <c r="M44" s="204"/>
      <c r="N44" s="345"/>
      <c r="O44" s="204">
        <v>520000</v>
      </c>
    </row>
    <row r="45" spans="2:15" ht="18" customHeight="1" x14ac:dyDescent="0.25">
      <c r="B45" s="380">
        <v>33</v>
      </c>
      <c r="C45" s="147" t="s">
        <v>273</v>
      </c>
      <c r="D45" s="380"/>
      <c r="E45" s="372"/>
      <c r="F45" s="380">
        <v>2</v>
      </c>
      <c r="G45" s="204">
        <v>6000000</v>
      </c>
      <c r="H45" s="380">
        <v>0</v>
      </c>
      <c r="I45" s="373">
        <v>12000000</v>
      </c>
      <c r="J45" s="345">
        <v>95000</v>
      </c>
      <c r="K45" s="204"/>
      <c r="L45" s="345"/>
      <c r="M45" s="204"/>
      <c r="N45" s="345"/>
      <c r="O45" s="204">
        <v>520000</v>
      </c>
    </row>
    <row r="46" spans="2:15" ht="18" customHeight="1" x14ac:dyDescent="0.25">
      <c r="B46" s="380">
        <v>34</v>
      </c>
      <c r="C46" s="147" t="s">
        <v>274</v>
      </c>
      <c r="D46" s="380"/>
      <c r="E46" s="372"/>
      <c r="F46" s="380">
        <v>3</v>
      </c>
      <c r="G46" s="204">
        <v>6000000</v>
      </c>
      <c r="H46" s="380">
        <v>0</v>
      </c>
      <c r="I46" s="373">
        <v>12000000</v>
      </c>
      <c r="J46" s="345">
        <v>95000</v>
      </c>
      <c r="K46" s="204"/>
      <c r="L46" s="345"/>
      <c r="M46" s="204"/>
      <c r="N46" s="345"/>
      <c r="O46" s="204">
        <v>520000</v>
      </c>
    </row>
    <row r="47" spans="2:15" ht="18" customHeight="1" x14ac:dyDescent="0.25">
      <c r="B47" s="380">
        <v>35</v>
      </c>
      <c r="C47" s="147" t="s">
        <v>275</v>
      </c>
      <c r="D47" s="380"/>
      <c r="E47" s="372"/>
      <c r="F47" s="380">
        <v>2</v>
      </c>
      <c r="G47" s="204">
        <v>4000000</v>
      </c>
      <c r="H47" s="380">
        <v>0</v>
      </c>
      <c r="I47" s="373">
        <v>12000000</v>
      </c>
      <c r="J47" s="345">
        <v>95000</v>
      </c>
      <c r="K47" s="204"/>
      <c r="L47" s="345"/>
      <c r="M47" s="204"/>
      <c r="N47" s="345"/>
      <c r="O47" s="204">
        <v>520000</v>
      </c>
    </row>
    <row r="48" spans="2:15" ht="18" customHeight="1" x14ac:dyDescent="0.25">
      <c r="B48" s="380">
        <v>36</v>
      </c>
      <c r="C48" s="147" t="s">
        <v>359</v>
      </c>
      <c r="D48" s="380"/>
      <c r="E48" s="372"/>
      <c r="F48" s="380">
        <v>5</v>
      </c>
      <c r="G48" s="204">
        <v>10000000</v>
      </c>
      <c r="H48" s="380">
        <v>0</v>
      </c>
      <c r="I48" s="373">
        <v>55000000</v>
      </c>
      <c r="J48" s="345">
        <v>1200000</v>
      </c>
      <c r="K48" s="204"/>
      <c r="L48" s="345"/>
      <c r="M48" s="204">
        <v>2</v>
      </c>
      <c r="N48" s="345">
        <v>210000</v>
      </c>
      <c r="O48" s="204">
        <v>520000</v>
      </c>
    </row>
    <row r="49" spans="2:15" ht="18" customHeight="1" x14ac:dyDescent="0.25">
      <c r="B49" s="380">
        <v>37</v>
      </c>
      <c r="C49" s="147" t="s">
        <v>360</v>
      </c>
      <c r="D49" s="380"/>
      <c r="E49" s="372"/>
      <c r="F49" s="380">
        <v>10</v>
      </c>
      <c r="G49" s="204">
        <v>20000000</v>
      </c>
      <c r="H49" s="380">
        <v>0</v>
      </c>
      <c r="I49" s="373">
        <v>55000000</v>
      </c>
      <c r="J49" s="345">
        <v>1200000</v>
      </c>
      <c r="K49" s="204"/>
      <c r="L49" s="345"/>
      <c r="M49" s="204">
        <v>2</v>
      </c>
      <c r="N49" s="345">
        <v>210000</v>
      </c>
      <c r="O49" s="204">
        <v>520000</v>
      </c>
    </row>
    <row r="50" spans="2:15" ht="18" customHeight="1" x14ac:dyDescent="0.25">
      <c r="B50" s="380">
        <v>38</v>
      </c>
      <c r="C50" s="147" t="s">
        <v>361</v>
      </c>
      <c r="D50" s="380"/>
      <c r="E50" s="372"/>
      <c r="F50" s="380">
        <v>10</v>
      </c>
      <c r="G50" s="204">
        <v>20000000</v>
      </c>
      <c r="H50" s="380">
        <v>0</v>
      </c>
      <c r="I50" s="373">
        <v>55000000</v>
      </c>
      <c r="J50" s="345">
        <v>1200000</v>
      </c>
      <c r="K50" s="204"/>
      <c r="L50" s="345"/>
      <c r="M50" s="204">
        <v>2</v>
      </c>
      <c r="N50" s="345">
        <v>210000</v>
      </c>
      <c r="O50" s="204">
        <v>520000</v>
      </c>
    </row>
    <row r="51" spans="2:15" ht="18" customHeight="1" x14ac:dyDescent="0.25">
      <c r="B51" s="380">
        <v>39</v>
      </c>
      <c r="C51" s="147" t="s">
        <v>279</v>
      </c>
      <c r="D51" s="380"/>
      <c r="E51" s="372"/>
      <c r="F51" s="380">
        <v>1</v>
      </c>
      <c r="G51" s="204">
        <v>2000000</v>
      </c>
      <c r="H51" s="380">
        <v>0</v>
      </c>
      <c r="I51" s="373">
        <v>12000000</v>
      </c>
      <c r="J51" s="345">
        <v>95000</v>
      </c>
      <c r="K51" s="204"/>
      <c r="L51" s="345"/>
      <c r="M51" s="204"/>
      <c r="N51" s="345"/>
      <c r="O51" s="204">
        <v>3000000</v>
      </c>
    </row>
    <row r="52" spans="2:15" ht="18" customHeight="1" x14ac:dyDescent="0.25">
      <c r="B52" s="380">
        <v>40</v>
      </c>
      <c r="C52" s="147" t="s">
        <v>1795</v>
      </c>
      <c r="D52" s="380"/>
      <c r="E52" s="204"/>
      <c r="F52" s="380">
        <v>25</v>
      </c>
      <c r="G52" s="204">
        <v>50000000</v>
      </c>
      <c r="H52" s="380">
        <v>115</v>
      </c>
      <c r="I52" s="373">
        <v>100000000</v>
      </c>
      <c r="J52" s="345">
        <v>8000000</v>
      </c>
      <c r="K52" s="204"/>
      <c r="L52" s="345"/>
      <c r="M52" s="204">
        <v>2</v>
      </c>
      <c r="N52" s="345">
        <v>210000</v>
      </c>
      <c r="O52" s="204">
        <v>6000000</v>
      </c>
    </row>
    <row r="53" spans="2:15" ht="18" customHeight="1" x14ac:dyDescent="0.25">
      <c r="B53" s="148"/>
      <c r="C53" s="207" t="s">
        <v>297</v>
      </c>
      <c r="D53" s="377"/>
      <c r="E53" s="196"/>
      <c r="F53" s="377">
        <v>157</v>
      </c>
      <c r="G53" s="196">
        <f t="shared" ref="G53:O53" si="0">SUM(G9:G52)</f>
        <v>326000000</v>
      </c>
      <c r="H53" s="386">
        <f t="shared" si="0"/>
        <v>115</v>
      </c>
      <c r="I53" s="196">
        <f t="shared" si="0"/>
        <v>759000000</v>
      </c>
      <c r="J53" s="386">
        <f t="shared" si="0"/>
        <v>15935000</v>
      </c>
      <c r="K53" s="196">
        <f t="shared" si="0"/>
        <v>10</v>
      </c>
      <c r="L53" s="386">
        <f t="shared" si="0"/>
        <v>1092000</v>
      </c>
      <c r="M53" s="196">
        <f t="shared" si="0"/>
        <v>10</v>
      </c>
      <c r="N53" s="386">
        <f t="shared" si="0"/>
        <v>1260000</v>
      </c>
      <c r="O53" s="196">
        <f t="shared" si="0"/>
        <v>27720000</v>
      </c>
    </row>
    <row r="54" spans="2:15" ht="18" customHeight="1" x14ac:dyDescent="0.25">
      <c r="B54" s="194"/>
      <c r="C54" s="190"/>
      <c r="D54" s="910"/>
      <c r="E54" s="910"/>
      <c r="F54" s="911"/>
      <c r="G54" s="911"/>
      <c r="H54" s="382"/>
      <c r="I54" s="194"/>
      <c r="J54" s="382"/>
      <c r="K54" s="194"/>
      <c r="L54" s="382"/>
      <c r="M54" s="867" t="s">
        <v>1788</v>
      </c>
      <c r="N54" s="867"/>
      <c r="O54" s="386">
        <f>+O53+N53+L53+J53+I53+G53</f>
        <v>1131007000</v>
      </c>
    </row>
    <row r="55" spans="2:15" ht="18" customHeight="1" x14ac:dyDescent="0.25">
      <c r="B55" s="194"/>
      <c r="C55" s="190"/>
      <c r="D55" s="381"/>
      <c r="E55" s="381"/>
      <c r="F55" s="382"/>
      <c r="G55" s="382"/>
      <c r="H55" s="382"/>
      <c r="I55" s="194"/>
      <c r="J55" s="382"/>
      <c r="K55" s="194"/>
      <c r="L55" s="382"/>
      <c r="M55" s="326"/>
      <c r="N55" s="326"/>
      <c r="O55" s="327"/>
    </row>
    <row r="56" spans="2:15" ht="18" customHeight="1" x14ac:dyDescent="0.25">
      <c r="B56" s="194" t="s">
        <v>362</v>
      </c>
      <c r="C56" s="194"/>
      <c r="D56" s="382"/>
      <c r="E56" s="194"/>
      <c r="F56" s="382"/>
      <c r="G56" s="194"/>
      <c r="H56" s="382"/>
      <c r="I56" s="194"/>
      <c r="J56" s="382"/>
      <c r="K56" s="194"/>
      <c r="L56" s="382"/>
      <c r="M56" s="194"/>
      <c r="N56" s="382"/>
      <c r="O56" s="194"/>
    </row>
    <row r="57" spans="2:15" x14ac:dyDescent="0.25">
      <c r="B57" s="912" t="s">
        <v>363</v>
      </c>
      <c r="C57" s="912"/>
      <c r="D57" s="912"/>
      <c r="E57" s="912"/>
      <c r="F57" s="912"/>
      <c r="G57" s="912"/>
      <c r="H57" s="912"/>
      <c r="I57" s="912"/>
      <c r="J57" s="912"/>
      <c r="K57" s="912"/>
      <c r="L57" s="912"/>
      <c r="M57" s="912"/>
      <c r="N57" s="912"/>
      <c r="O57" s="912"/>
    </row>
    <row r="58" spans="2:15" x14ac:dyDescent="0.25">
      <c r="B58" s="912" t="s">
        <v>364</v>
      </c>
      <c r="C58" s="912"/>
      <c r="D58" s="912"/>
      <c r="E58" s="912"/>
      <c r="F58" s="912"/>
      <c r="G58" s="912"/>
      <c r="H58" s="912"/>
      <c r="I58" s="912"/>
      <c r="J58" s="912"/>
      <c r="K58" s="912"/>
      <c r="L58" s="912"/>
      <c r="M58" s="912"/>
      <c r="N58" s="912"/>
      <c r="O58" s="912"/>
    </row>
    <row r="68" spans="2:15" ht="18" customHeight="1" x14ac:dyDescent="0.25">
      <c r="B68" s="913" t="s">
        <v>232</v>
      </c>
      <c r="C68" s="913"/>
      <c r="D68" s="913"/>
      <c r="E68" s="913"/>
      <c r="F68" s="913"/>
      <c r="G68" s="913"/>
      <c r="H68" s="913"/>
      <c r="I68" s="913"/>
      <c r="J68" s="913"/>
      <c r="K68" s="913"/>
      <c r="L68" s="913"/>
      <c r="M68" s="913"/>
      <c r="N68" s="913"/>
      <c r="O68" s="913"/>
    </row>
    <row r="69" spans="2:15" ht="18" customHeight="1" x14ac:dyDescent="0.25">
      <c r="B69" s="872" t="s">
        <v>1777</v>
      </c>
      <c r="C69" s="872"/>
      <c r="D69" s="872"/>
      <c r="E69" s="872"/>
      <c r="F69" s="872"/>
      <c r="G69" s="872"/>
      <c r="H69" s="872"/>
      <c r="I69" s="872"/>
      <c r="J69" s="872"/>
      <c r="K69" s="872"/>
      <c r="L69" s="872"/>
      <c r="M69" s="872"/>
      <c r="N69" s="872"/>
      <c r="O69" s="872"/>
    </row>
    <row r="70" spans="2:15" ht="18" customHeight="1" x14ac:dyDescent="0.25">
      <c r="B70" s="867" t="s">
        <v>343</v>
      </c>
      <c r="C70" s="867"/>
      <c r="D70" s="867"/>
      <c r="E70" s="867"/>
      <c r="F70" s="867"/>
      <c r="G70" s="867"/>
      <c r="H70" s="867"/>
      <c r="I70" s="867"/>
      <c r="J70" s="867"/>
      <c r="K70" s="867"/>
      <c r="L70" s="867"/>
      <c r="M70" s="867"/>
      <c r="N70" s="867"/>
      <c r="O70" s="867"/>
    </row>
    <row r="71" spans="2:15" ht="18" customHeight="1" x14ac:dyDescent="0.25">
      <c r="B71" s="867" t="s">
        <v>344</v>
      </c>
      <c r="C71" s="867"/>
      <c r="D71" s="867"/>
      <c r="E71" s="867"/>
      <c r="F71" s="867"/>
      <c r="G71" s="867"/>
      <c r="H71" s="867"/>
      <c r="I71" s="867"/>
      <c r="J71" s="867"/>
      <c r="K71" s="867"/>
      <c r="L71" s="867"/>
      <c r="M71" s="867"/>
      <c r="N71" s="867"/>
      <c r="O71" s="867"/>
    </row>
    <row r="72" spans="2:15" ht="130.5" customHeight="1" x14ac:dyDescent="0.25">
      <c r="B72" s="478" t="s">
        <v>346</v>
      </c>
      <c r="C72" s="205" t="s">
        <v>347</v>
      </c>
      <c r="D72" s="505" t="s">
        <v>1789</v>
      </c>
      <c r="E72" s="505" t="s">
        <v>1784</v>
      </c>
      <c r="F72" s="505" t="s">
        <v>1790</v>
      </c>
      <c r="G72" s="505" t="s">
        <v>1784</v>
      </c>
      <c r="H72" s="505" t="s">
        <v>1791</v>
      </c>
      <c r="I72" s="505" t="s">
        <v>1784</v>
      </c>
      <c r="J72" s="505" t="s">
        <v>1792</v>
      </c>
      <c r="K72" s="505" t="s">
        <v>1784</v>
      </c>
      <c r="L72" s="505" t="s">
        <v>1793</v>
      </c>
      <c r="M72" s="505" t="s">
        <v>1784</v>
      </c>
      <c r="N72" s="505" t="s">
        <v>1794</v>
      </c>
      <c r="O72" s="505" t="s">
        <v>1784</v>
      </c>
    </row>
    <row r="73" spans="2:15" ht="18" customHeight="1" x14ac:dyDescent="0.25">
      <c r="B73" s="497">
        <v>1</v>
      </c>
      <c r="C73" s="147" t="s">
        <v>241</v>
      </c>
      <c r="D73" s="345">
        <v>1</v>
      </c>
      <c r="E73" s="204">
        <v>252000</v>
      </c>
      <c r="F73" s="345"/>
      <c r="G73" s="204"/>
      <c r="H73" s="345"/>
      <c r="I73" s="204"/>
      <c r="J73" s="345">
        <v>2</v>
      </c>
      <c r="K73" s="204">
        <v>90000</v>
      </c>
      <c r="L73" s="345"/>
      <c r="M73" s="204"/>
      <c r="N73" s="345"/>
      <c r="O73" s="204"/>
    </row>
    <row r="74" spans="2:15" ht="18" customHeight="1" x14ac:dyDescent="0.25">
      <c r="B74" s="497">
        <v>2</v>
      </c>
      <c r="C74" s="147" t="s">
        <v>242</v>
      </c>
      <c r="D74" s="345"/>
      <c r="E74" s="204"/>
      <c r="F74" s="345"/>
      <c r="G74" s="204"/>
      <c r="H74" s="345"/>
      <c r="I74" s="204"/>
      <c r="J74" s="345">
        <v>1</v>
      </c>
      <c r="K74" s="204">
        <v>90000</v>
      </c>
      <c r="L74" s="345"/>
      <c r="M74" s="204"/>
      <c r="N74" s="345"/>
      <c r="O74" s="204"/>
    </row>
    <row r="75" spans="2:15" ht="18" customHeight="1" x14ac:dyDescent="0.25">
      <c r="B75" s="497">
        <v>3</v>
      </c>
      <c r="C75" s="147" t="s">
        <v>1786</v>
      </c>
      <c r="D75" s="345"/>
      <c r="E75" s="204"/>
      <c r="F75" s="345"/>
      <c r="G75" s="204"/>
      <c r="H75" s="345"/>
      <c r="I75" s="204"/>
      <c r="J75" s="345">
        <v>1</v>
      </c>
      <c r="K75" s="204">
        <v>90000</v>
      </c>
      <c r="L75" s="345"/>
      <c r="M75" s="204"/>
      <c r="N75" s="345"/>
      <c r="O75" s="204"/>
    </row>
    <row r="76" spans="2:15" ht="18" customHeight="1" x14ac:dyDescent="0.25">
      <c r="B76" s="497">
        <v>4</v>
      </c>
      <c r="C76" s="147" t="s">
        <v>1787</v>
      </c>
      <c r="D76" s="345"/>
      <c r="E76" s="204"/>
      <c r="F76" s="345"/>
      <c r="G76" s="204"/>
      <c r="H76" s="345"/>
      <c r="I76" s="204"/>
      <c r="J76" s="345">
        <v>1</v>
      </c>
      <c r="K76" s="204">
        <v>90000</v>
      </c>
      <c r="L76" s="345"/>
      <c r="M76" s="204"/>
      <c r="N76" s="345"/>
      <c r="O76" s="204"/>
    </row>
    <row r="77" spans="2:15" ht="18" customHeight="1" x14ac:dyDescent="0.25">
      <c r="B77" s="497">
        <v>5</v>
      </c>
      <c r="C77" s="147" t="s">
        <v>244</v>
      </c>
      <c r="D77" s="345"/>
      <c r="E77" s="204"/>
      <c r="F77" s="345">
        <v>1</v>
      </c>
      <c r="G77" s="204">
        <v>280000</v>
      </c>
      <c r="H77" s="345"/>
      <c r="I77" s="204"/>
      <c r="J77" s="345">
        <v>1</v>
      </c>
      <c r="K77" s="204">
        <v>90000</v>
      </c>
      <c r="L77" s="345"/>
      <c r="M77" s="204"/>
      <c r="N77" s="345"/>
      <c r="O77" s="204"/>
    </row>
    <row r="78" spans="2:15" ht="18" customHeight="1" x14ac:dyDescent="0.25">
      <c r="B78" s="497">
        <v>6</v>
      </c>
      <c r="C78" s="147" t="s">
        <v>316</v>
      </c>
      <c r="D78" s="345"/>
      <c r="E78" s="204"/>
      <c r="F78" s="345"/>
      <c r="G78" s="204"/>
      <c r="H78" s="345"/>
      <c r="I78" s="204"/>
      <c r="J78" s="345">
        <v>1</v>
      </c>
      <c r="K78" s="204">
        <v>90000</v>
      </c>
      <c r="L78" s="345"/>
      <c r="M78" s="204"/>
      <c r="N78" s="345"/>
      <c r="O78" s="204"/>
    </row>
    <row r="79" spans="2:15" ht="18" customHeight="1" x14ac:dyDescent="0.25">
      <c r="B79" s="497">
        <v>7</v>
      </c>
      <c r="C79" s="147" t="s">
        <v>246</v>
      </c>
      <c r="D79" s="345"/>
      <c r="E79" s="204"/>
      <c r="F79" s="345">
        <v>1</v>
      </c>
      <c r="G79" s="204">
        <v>280000</v>
      </c>
      <c r="H79" s="345">
        <v>1</v>
      </c>
      <c r="I79" s="532">
        <v>98000</v>
      </c>
      <c r="J79" s="345">
        <v>1</v>
      </c>
      <c r="K79" s="204">
        <v>90000</v>
      </c>
      <c r="L79" s="345"/>
      <c r="M79" s="204"/>
      <c r="N79" s="345"/>
      <c r="O79" s="204"/>
    </row>
    <row r="80" spans="2:15" ht="18" customHeight="1" x14ac:dyDescent="0.25">
      <c r="B80" s="497">
        <v>8</v>
      </c>
      <c r="C80" s="193" t="s">
        <v>247</v>
      </c>
      <c r="D80" s="345">
        <v>1</v>
      </c>
      <c r="E80" s="204">
        <v>252000</v>
      </c>
      <c r="F80" s="345"/>
      <c r="G80" s="204"/>
      <c r="H80" s="345"/>
      <c r="I80" s="204"/>
      <c r="J80" s="345">
        <v>1</v>
      </c>
      <c r="K80" s="204">
        <v>90000</v>
      </c>
      <c r="L80" s="345"/>
      <c r="M80" s="204"/>
      <c r="N80" s="345"/>
      <c r="O80" s="204"/>
    </row>
    <row r="81" spans="2:15" ht="18" customHeight="1" x14ac:dyDescent="0.25">
      <c r="B81" s="497">
        <v>9</v>
      </c>
      <c r="C81" s="193" t="s">
        <v>249</v>
      </c>
      <c r="D81" s="345"/>
      <c r="E81" s="204"/>
      <c r="F81" s="345"/>
      <c r="G81" s="204"/>
      <c r="H81" s="345"/>
      <c r="I81" s="204"/>
      <c r="J81" s="345">
        <v>1</v>
      </c>
      <c r="K81" s="204">
        <v>90000</v>
      </c>
      <c r="L81" s="345"/>
      <c r="M81" s="204"/>
      <c r="N81" s="345"/>
      <c r="O81" s="204"/>
    </row>
    <row r="82" spans="2:15" ht="18" customHeight="1" x14ac:dyDescent="0.25">
      <c r="B82" s="497">
        <v>10</v>
      </c>
      <c r="C82" s="147" t="s">
        <v>250</v>
      </c>
      <c r="D82" s="345"/>
      <c r="E82" s="204"/>
      <c r="F82" s="345">
        <v>1</v>
      </c>
      <c r="G82" s="204">
        <v>280000</v>
      </c>
      <c r="H82" s="345">
        <v>1</v>
      </c>
      <c r="I82" s="532">
        <v>98000</v>
      </c>
      <c r="J82" s="345">
        <v>1</v>
      </c>
      <c r="K82" s="204">
        <v>90000</v>
      </c>
      <c r="L82" s="345">
        <v>1</v>
      </c>
      <c r="M82" s="204">
        <v>84000</v>
      </c>
      <c r="N82" s="345"/>
      <c r="O82" s="204"/>
    </row>
    <row r="83" spans="2:15" ht="18" customHeight="1" x14ac:dyDescent="0.25">
      <c r="B83" s="497">
        <v>11</v>
      </c>
      <c r="C83" s="147" t="s">
        <v>251</v>
      </c>
      <c r="D83" s="345">
        <v>1</v>
      </c>
      <c r="E83" s="204">
        <v>252000</v>
      </c>
      <c r="F83" s="345"/>
      <c r="G83" s="204"/>
      <c r="H83" s="345"/>
      <c r="I83" s="204"/>
      <c r="J83" s="345">
        <v>1</v>
      </c>
      <c r="K83" s="204">
        <v>90000</v>
      </c>
      <c r="L83" s="345"/>
      <c r="M83" s="204"/>
      <c r="N83" s="345"/>
      <c r="O83" s="204"/>
    </row>
    <row r="84" spans="2:15" ht="18" customHeight="1" x14ac:dyDescent="0.25">
      <c r="B84" s="497">
        <v>12</v>
      </c>
      <c r="C84" s="147" t="s">
        <v>252</v>
      </c>
      <c r="D84" s="345"/>
      <c r="E84" s="204"/>
      <c r="F84" s="345"/>
      <c r="G84" s="204"/>
      <c r="H84" s="345"/>
      <c r="I84" s="204"/>
      <c r="J84" s="345">
        <v>1</v>
      </c>
      <c r="K84" s="204">
        <v>90000</v>
      </c>
      <c r="L84" s="345"/>
      <c r="M84" s="204"/>
      <c r="N84" s="345"/>
      <c r="O84" s="204"/>
    </row>
    <row r="85" spans="2:15" ht="18" customHeight="1" x14ac:dyDescent="0.25">
      <c r="B85" s="497">
        <v>13</v>
      </c>
      <c r="C85" s="147" t="s">
        <v>354</v>
      </c>
      <c r="D85" s="345">
        <v>1</v>
      </c>
      <c r="E85" s="204">
        <v>252000</v>
      </c>
      <c r="F85" s="345">
        <v>1</v>
      </c>
      <c r="G85" s="204">
        <v>280000</v>
      </c>
      <c r="H85" s="345"/>
      <c r="I85" s="204"/>
      <c r="J85" s="345">
        <v>1</v>
      </c>
      <c r="K85" s="204">
        <v>90000</v>
      </c>
      <c r="L85" s="345"/>
      <c r="M85" s="204"/>
      <c r="N85" s="345"/>
      <c r="O85" s="204"/>
    </row>
    <row r="86" spans="2:15" ht="18" customHeight="1" x14ac:dyDescent="0.25">
      <c r="B86" s="497">
        <v>14</v>
      </c>
      <c r="C86" s="147" t="s">
        <v>355</v>
      </c>
      <c r="D86" s="345">
        <v>1</v>
      </c>
      <c r="E86" s="204">
        <v>252000</v>
      </c>
      <c r="F86" s="345"/>
      <c r="G86" s="204"/>
      <c r="H86" s="345"/>
      <c r="I86" s="204"/>
      <c r="J86" s="345">
        <v>1</v>
      </c>
      <c r="K86" s="204">
        <v>90000</v>
      </c>
      <c r="L86" s="345">
        <v>1</v>
      </c>
      <c r="M86" s="204">
        <v>84000</v>
      </c>
      <c r="N86" s="345"/>
      <c r="O86" s="204"/>
    </row>
    <row r="87" spans="2:15" ht="18" customHeight="1" x14ac:dyDescent="0.25">
      <c r="B87" s="497">
        <v>15</v>
      </c>
      <c r="C87" s="147" t="s">
        <v>255</v>
      </c>
      <c r="D87" s="345">
        <v>1</v>
      </c>
      <c r="E87" s="204">
        <v>252000</v>
      </c>
      <c r="F87" s="345"/>
      <c r="G87" s="204"/>
      <c r="H87" s="345">
        <v>1</v>
      </c>
      <c r="I87" s="532">
        <v>98000</v>
      </c>
      <c r="J87" s="345">
        <v>1</v>
      </c>
      <c r="K87" s="204">
        <v>90000</v>
      </c>
      <c r="L87" s="345"/>
      <c r="M87" s="204"/>
      <c r="N87" s="345"/>
      <c r="O87" s="204"/>
    </row>
    <row r="88" spans="2:15" ht="18" customHeight="1" x14ac:dyDescent="0.25">
      <c r="B88" s="497">
        <v>16</v>
      </c>
      <c r="C88" s="147" t="s">
        <v>256</v>
      </c>
      <c r="D88" s="345"/>
      <c r="E88" s="204"/>
      <c r="F88" s="345"/>
      <c r="G88" s="204"/>
      <c r="H88" s="345"/>
      <c r="I88" s="204"/>
      <c r="J88" s="345">
        <v>1</v>
      </c>
      <c r="K88" s="204">
        <v>90000</v>
      </c>
      <c r="L88" s="345"/>
      <c r="M88" s="204"/>
      <c r="N88" s="345"/>
      <c r="O88" s="204"/>
    </row>
    <row r="89" spans="2:15" ht="18" customHeight="1" x14ac:dyDescent="0.25">
      <c r="B89" s="497">
        <v>17</v>
      </c>
      <c r="C89" s="147" t="s">
        <v>257</v>
      </c>
      <c r="D89" s="345"/>
      <c r="E89" s="204"/>
      <c r="F89" s="345"/>
      <c r="G89" s="204"/>
      <c r="H89" s="345"/>
      <c r="I89" s="204"/>
      <c r="J89" s="345">
        <v>1</v>
      </c>
      <c r="K89" s="204">
        <v>90000</v>
      </c>
      <c r="L89" s="345"/>
      <c r="M89" s="204"/>
      <c r="N89" s="345"/>
      <c r="O89" s="204"/>
    </row>
    <row r="90" spans="2:15" ht="18" customHeight="1" x14ac:dyDescent="0.25">
      <c r="B90" s="497">
        <v>18</v>
      </c>
      <c r="C90" s="147" t="s">
        <v>356</v>
      </c>
      <c r="D90" s="345">
        <v>1</v>
      </c>
      <c r="E90" s="204">
        <v>252000</v>
      </c>
      <c r="F90" s="345"/>
      <c r="G90" s="204"/>
      <c r="H90" s="345"/>
      <c r="I90" s="204"/>
      <c r="J90" s="345">
        <v>1</v>
      </c>
      <c r="K90" s="204">
        <v>90000</v>
      </c>
      <c r="L90" s="345">
        <v>1</v>
      </c>
      <c r="M90" s="204">
        <v>84000</v>
      </c>
      <c r="N90" s="345">
        <v>1</v>
      </c>
      <c r="O90" s="204">
        <v>168000</v>
      </c>
    </row>
    <row r="91" spans="2:15" ht="18" customHeight="1" x14ac:dyDescent="0.25">
      <c r="B91" s="497">
        <v>19</v>
      </c>
      <c r="C91" s="147" t="s">
        <v>357</v>
      </c>
      <c r="D91" s="345"/>
      <c r="E91" s="204"/>
      <c r="F91" s="345"/>
      <c r="G91" s="204"/>
      <c r="H91" s="345">
        <v>2</v>
      </c>
      <c r="I91" s="532">
        <v>98000</v>
      </c>
      <c r="J91" s="345">
        <v>1</v>
      </c>
      <c r="K91" s="204">
        <v>90000</v>
      </c>
      <c r="L91" s="345"/>
      <c r="M91" s="204"/>
      <c r="N91" s="345">
        <v>1</v>
      </c>
      <c r="O91" s="204">
        <v>168000</v>
      </c>
    </row>
    <row r="92" spans="2:15" ht="18" customHeight="1" x14ac:dyDescent="0.25">
      <c r="B92" s="497">
        <v>20</v>
      </c>
      <c r="C92" s="147" t="s">
        <v>570</v>
      </c>
      <c r="D92" s="345"/>
      <c r="E92" s="204"/>
      <c r="F92" s="345">
        <v>1</v>
      </c>
      <c r="G92" s="204">
        <v>280000</v>
      </c>
      <c r="H92" s="345"/>
      <c r="I92" s="204"/>
      <c r="J92" s="345">
        <v>1</v>
      </c>
      <c r="K92" s="204">
        <v>90000</v>
      </c>
      <c r="L92" s="345"/>
      <c r="M92" s="204"/>
      <c r="N92" s="345"/>
      <c r="O92" s="204"/>
    </row>
    <row r="93" spans="2:15" ht="18" customHeight="1" x14ac:dyDescent="0.25">
      <c r="B93" s="497">
        <v>21</v>
      </c>
      <c r="C93" s="147" t="s">
        <v>261</v>
      </c>
      <c r="D93" s="345">
        <v>1</v>
      </c>
      <c r="E93" s="204">
        <v>252000</v>
      </c>
      <c r="F93" s="345"/>
      <c r="G93" s="204"/>
      <c r="H93" s="345">
        <v>1</v>
      </c>
      <c r="I93" s="532">
        <v>98000</v>
      </c>
      <c r="J93" s="345">
        <v>1</v>
      </c>
      <c r="K93" s="204">
        <v>90000</v>
      </c>
      <c r="L93" s="345"/>
      <c r="M93" s="204"/>
      <c r="N93" s="345">
        <v>1</v>
      </c>
      <c r="O93" s="204">
        <v>168000</v>
      </c>
    </row>
    <row r="94" spans="2:15" ht="18" customHeight="1" x14ac:dyDescent="0.25">
      <c r="B94" s="502"/>
      <c r="C94" s="526"/>
      <c r="D94" s="346"/>
      <c r="E94" s="343"/>
      <c r="F94" s="346"/>
      <c r="G94" s="343"/>
      <c r="H94" s="346"/>
      <c r="I94" s="533"/>
      <c r="J94" s="346"/>
      <c r="K94" s="343"/>
      <c r="L94" s="346"/>
      <c r="M94" s="343"/>
      <c r="N94" s="346"/>
      <c r="O94" s="343"/>
    </row>
    <row r="95" spans="2:15" ht="18" customHeight="1" x14ac:dyDescent="0.25">
      <c r="B95" s="503"/>
      <c r="C95" s="418"/>
      <c r="D95" s="457"/>
      <c r="E95" s="403"/>
      <c r="F95" s="457"/>
      <c r="G95" s="403"/>
      <c r="H95" s="457"/>
      <c r="I95" s="534"/>
      <c r="J95" s="457"/>
      <c r="K95" s="403"/>
      <c r="L95" s="457"/>
      <c r="M95" s="403"/>
      <c r="N95" s="457"/>
      <c r="O95" s="403"/>
    </row>
    <row r="96" spans="2:15" ht="18" customHeight="1" x14ac:dyDescent="0.25">
      <c r="B96" s="503"/>
      <c r="C96" s="418"/>
      <c r="D96" s="457"/>
      <c r="E96" s="403"/>
      <c r="F96" s="457"/>
      <c r="G96" s="403"/>
      <c r="H96" s="457"/>
      <c r="I96" s="534"/>
      <c r="J96" s="457"/>
      <c r="K96" s="403"/>
      <c r="L96" s="457"/>
      <c r="M96" s="403"/>
      <c r="N96" s="457"/>
      <c r="O96" s="403"/>
    </row>
    <row r="97" spans="2:15" ht="18" customHeight="1" x14ac:dyDescent="0.25">
      <c r="B97" s="503"/>
      <c r="C97" s="418"/>
      <c r="D97" s="457"/>
      <c r="E97" s="403"/>
      <c r="F97" s="457"/>
      <c r="G97" s="403"/>
      <c r="H97" s="457"/>
      <c r="I97" s="534"/>
      <c r="J97" s="457"/>
      <c r="K97" s="403"/>
      <c r="L97" s="457"/>
      <c r="M97" s="403"/>
      <c r="N97" s="457"/>
      <c r="O97" s="403"/>
    </row>
    <row r="98" spans="2:15" ht="18" customHeight="1" x14ac:dyDescent="0.25">
      <c r="B98" s="497">
        <v>22</v>
      </c>
      <c r="C98" s="147" t="s">
        <v>262</v>
      </c>
      <c r="D98" s="345">
        <v>1</v>
      </c>
      <c r="E98" s="204">
        <v>252000</v>
      </c>
      <c r="F98" s="345">
        <v>1</v>
      </c>
      <c r="G98" s="204">
        <v>280000</v>
      </c>
      <c r="H98" s="345">
        <v>1</v>
      </c>
      <c r="I98" s="532">
        <v>98000</v>
      </c>
      <c r="J98" s="345">
        <v>1</v>
      </c>
      <c r="K98" s="204">
        <v>90000</v>
      </c>
      <c r="L98" s="345">
        <v>1</v>
      </c>
      <c r="M98" s="204">
        <v>84000</v>
      </c>
      <c r="N98" s="345"/>
      <c r="O98" s="204"/>
    </row>
    <row r="99" spans="2:15" ht="18" customHeight="1" x14ac:dyDescent="0.25">
      <c r="B99" s="497">
        <v>23</v>
      </c>
      <c r="C99" s="147" t="s">
        <v>263</v>
      </c>
      <c r="D99" s="345"/>
      <c r="E99" s="204"/>
      <c r="F99" s="345"/>
      <c r="G99" s="204"/>
      <c r="H99" s="345"/>
      <c r="I99" s="204"/>
      <c r="J99" s="345">
        <v>1</v>
      </c>
      <c r="K99" s="204">
        <v>90000</v>
      </c>
      <c r="L99" s="345"/>
      <c r="M99" s="204"/>
      <c r="N99" s="345"/>
      <c r="O99" s="204"/>
    </row>
    <row r="100" spans="2:15" ht="18" customHeight="1" x14ac:dyDescent="0.25">
      <c r="B100" s="497">
        <v>24</v>
      </c>
      <c r="C100" s="147" t="s">
        <v>264</v>
      </c>
      <c r="D100" s="345"/>
      <c r="E100" s="204"/>
      <c r="F100" s="345"/>
      <c r="G100" s="204"/>
      <c r="H100" s="345"/>
      <c r="I100" s="204"/>
      <c r="J100" s="345">
        <v>1</v>
      </c>
      <c r="K100" s="204">
        <v>90000</v>
      </c>
      <c r="L100" s="345"/>
      <c r="M100" s="204"/>
      <c r="N100" s="345"/>
      <c r="O100" s="204"/>
    </row>
    <row r="101" spans="2:15" ht="18" customHeight="1" x14ac:dyDescent="0.25">
      <c r="B101" s="497">
        <v>25</v>
      </c>
      <c r="C101" s="147" t="s">
        <v>265</v>
      </c>
      <c r="D101" s="345">
        <v>1</v>
      </c>
      <c r="E101" s="204">
        <v>252000</v>
      </c>
      <c r="F101" s="345">
        <v>2</v>
      </c>
      <c r="G101" s="204">
        <v>280000</v>
      </c>
      <c r="H101" s="345">
        <v>2</v>
      </c>
      <c r="I101" s="532">
        <v>98000</v>
      </c>
      <c r="J101" s="345">
        <v>1</v>
      </c>
      <c r="K101" s="204">
        <v>90000</v>
      </c>
      <c r="L101" s="345">
        <v>1</v>
      </c>
      <c r="M101" s="204">
        <v>84000</v>
      </c>
      <c r="N101" s="345">
        <v>1</v>
      </c>
      <c r="O101" s="204">
        <v>168000</v>
      </c>
    </row>
    <row r="102" spans="2:15" ht="18" customHeight="1" x14ac:dyDescent="0.25">
      <c r="B102" s="497">
        <v>26</v>
      </c>
      <c r="C102" s="147" t="s">
        <v>266</v>
      </c>
      <c r="D102" s="345">
        <v>1</v>
      </c>
      <c r="E102" s="204">
        <v>252000</v>
      </c>
      <c r="F102" s="345"/>
      <c r="G102" s="204"/>
      <c r="H102" s="345">
        <v>1</v>
      </c>
      <c r="I102" s="532">
        <v>98000</v>
      </c>
      <c r="J102" s="345">
        <v>1</v>
      </c>
      <c r="K102" s="204">
        <v>90000</v>
      </c>
      <c r="L102" s="345"/>
      <c r="M102" s="204"/>
      <c r="N102" s="345">
        <v>1</v>
      </c>
      <c r="O102" s="204">
        <v>168000</v>
      </c>
    </row>
    <row r="103" spans="2:15" ht="18" customHeight="1" x14ac:dyDescent="0.25">
      <c r="B103" s="497">
        <v>27</v>
      </c>
      <c r="C103" s="147" t="s">
        <v>267</v>
      </c>
      <c r="D103" s="345"/>
      <c r="E103" s="204"/>
      <c r="F103" s="345"/>
      <c r="G103" s="204"/>
      <c r="H103" s="345"/>
      <c r="I103" s="204"/>
      <c r="J103" s="345">
        <v>1</v>
      </c>
      <c r="K103" s="204">
        <v>90000</v>
      </c>
      <c r="L103" s="345"/>
      <c r="M103" s="204"/>
      <c r="N103" s="345"/>
      <c r="O103" s="204"/>
    </row>
    <row r="104" spans="2:15" ht="18" customHeight="1" x14ac:dyDescent="0.25">
      <c r="B104" s="497">
        <v>28</v>
      </c>
      <c r="C104" s="147" t="s">
        <v>268</v>
      </c>
      <c r="D104" s="345">
        <v>1</v>
      </c>
      <c r="E104" s="204">
        <v>252000</v>
      </c>
      <c r="F104" s="345"/>
      <c r="G104" s="204"/>
      <c r="H104" s="345"/>
      <c r="I104" s="204"/>
      <c r="J104" s="345">
        <v>1</v>
      </c>
      <c r="K104" s="204">
        <v>90000</v>
      </c>
      <c r="L104" s="345"/>
      <c r="M104" s="204"/>
      <c r="N104" s="345">
        <v>1</v>
      </c>
      <c r="O104" s="204">
        <v>168000</v>
      </c>
    </row>
    <row r="105" spans="2:15" ht="18" customHeight="1" x14ac:dyDescent="0.25">
      <c r="B105" s="497">
        <v>29</v>
      </c>
      <c r="C105" s="147" t="s">
        <v>269</v>
      </c>
      <c r="D105" s="345"/>
      <c r="E105" s="204"/>
      <c r="F105" s="345"/>
      <c r="G105" s="204"/>
      <c r="H105" s="345">
        <v>1</v>
      </c>
      <c r="I105" s="532">
        <v>98000</v>
      </c>
      <c r="J105" s="345">
        <v>1</v>
      </c>
      <c r="K105" s="204">
        <v>90000</v>
      </c>
      <c r="L105" s="345"/>
      <c r="M105" s="204"/>
      <c r="N105" s="345"/>
      <c r="O105" s="204"/>
    </row>
    <row r="106" spans="2:15" ht="18" customHeight="1" x14ac:dyDescent="0.25">
      <c r="B106" s="497">
        <v>30</v>
      </c>
      <c r="C106" s="147" t="s">
        <v>270</v>
      </c>
      <c r="D106" s="345">
        <v>1</v>
      </c>
      <c r="E106" s="204">
        <v>252000</v>
      </c>
      <c r="F106" s="345">
        <v>1</v>
      </c>
      <c r="G106" s="204">
        <v>280000</v>
      </c>
      <c r="H106" s="345"/>
      <c r="I106" s="204"/>
      <c r="J106" s="345">
        <v>1</v>
      </c>
      <c r="K106" s="204">
        <v>90000</v>
      </c>
      <c r="L106" s="345"/>
      <c r="M106" s="204"/>
      <c r="N106" s="345"/>
      <c r="O106" s="204"/>
    </row>
    <row r="107" spans="2:15" ht="18" customHeight="1" x14ac:dyDescent="0.25">
      <c r="B107" s="497">
        <v>31</v>
      </c>
      <c r="C107" s="147" t="s">
        <v>271</v>
      </c>
      <c r="D107" s="345"/>
      <c r="E107" s="204"/>
      <c r="F107" s="345">
        <v>1</v>
      </c>
      <c r="G107" s="204">
        <v>280000</v>
      </c>
      <c r="H107" s="345"/>
      <c r="I107" s="204"/>
      <c r="J107" s="345">
        <v>1</v>
      </c>
      <c r="K107" s="204">
        <v>90000</v>
      </c>
      <c r="L107" s="345"/>
      <c r="M107" s="204"/>
      <c r="N107" s="345"/>
      <c r="O107" s="204"/>
    </row>
    <row r="108" spans="2:15" ht="18" customHeight="1" x14ac:dyDescent="0.25">
      <c r="B108" s="497">
        <v>32</v>
      </c>
      <c r="C108" s="147" t="s">
        <v>358</v>
      </c>
      <c r="D108" s="345"/>
      <c r="E108" s="204"/>
      <c r="F108" s="345">
        <v>1</v>
      </c>
      <c r="G108" s="204">
        <v>280000</v>
      </c>
      <c r="H108" s="345"/>
      <c r="I108" s="204"/>
      <c r="J108" s="345">
        <v>1</v>
      </c>
      <c r="K108" s="204">
        <v>90000</v>
      </c>
      <c r="L108" s="345"/>
      <c r="M108" s="204"/>
      <c r="N108" s="345"/>
      <c r="O108" s="204"/>
    </row>
    <row r="109" spans="2:15" ht="18" customHeight="1" x14ac:dyDescent="0.25">
      <c r="B109" s="497">
        <v>33</v>
      </c>
      <c r="C109" s="147" t="s">
        <v>273</v>
      </c>
      <c r="D109" s="345">
        <v>1</v>
      </c>
      <c r="E109" s="204">
        <v>252000</v>
      </c>
      <c r="F109" s="345"/>
      <c r="G109" s="204"/>
      <c r="H109" s="345">
        <v>1</v>
      </c>
      <c r="I109" s="532">
        <v>98000</v>
      </c>
      <c r="J109" s="345">
        <v>1</v>
      </c>
      <c r="K109" s="204">
        <v>90000</v>
      </c>
      <c r="L109" s="345"/>
      <c r="M109" s="204"/>
      <c r="N109" s="345"/>
      <c r="O109" s="204"/>
    </row>
    <row r="110" spans="2:15" ht="18" customHeight="1" x14ac:dyDescent="0.25">
      <c r="B110" s="497">
        <v>34</v>
      </c>
      <c r="C110" s="147" t="s">
        <v>274</v>
      </c>
      <c r="D110" s="345"/>
      <c r="E110" s="204"/>
      <c r="F110" s="345">
        <v>1</v>
      </c>
      <c r="G110" s="204">
        <v>280000</v>
      </c>
      <c r="H110" s="345"/>
      <c r="I110" s="204"/>
      <c r="J110" s="345">
        <v>1</v>
      </c>
      <c r="K110" s="204">
        <v>90000</v>
      </c>
      <c r="L110" s="345">
        <v>1</v>
      </c>
      <c r="M110" s="204">
        <v>84000</v>
      </c>
      <c r="N110" s="345"/>
      <c r="O110" s="204"/>
    </row>
    <row r="111" spans="2:15" ht="18" customHeight="1" x14ac:dyDescent="0.25">
      <c r="B111" s="497">
        <v>35</v>
      </c>
      <c r="C111" s="147" t="s">
        <v>275</v>
      </c>
      <c r="D111" s="345">
        <v>1</v>
      </c>
      <c r="E111" s="204">
        <v>252000</v>
      </c>
      <c r="F111" s="345"/>
      <c r="G111" s="204"/>
      <c r="H111" s="345"/>
      <c r="I111" s="204"/>
      <c r="J111" s="345">
        <v>1</v>
      </c>
      <c r="K111" s="204">
        <v>90000</v>
      </c>
      <c r="L111" s="345"/>
      <c r="M111" s="204"/>
      <c r="N111" s="345"/>
      <c r="O111" s="204"/>
    </row>
    <row r="112" spans="2:15" ht="18" customHeight="1" x14ac:dyDescent="0.25">
      <c r="B112" s="497">
        <v>36</v>
      </c>
      <c r="C112" s="147" t="s">
        <v>359</v>
      </c>
      <c r="D112" s="345"/>
      <c r="E112" s="204"/>
      <c r="F112" s="345">
        <v>1</v>
      </c>
      <c r="G112" s="204">
        <v>280000</v>
      </c>
      <c r="H112" s="345">
        <v>2</v>
      </c>
      <c r="I112" s="532">
        <v>98000</v>
      </c>
      <c r="J112" s="345">
        <v>3</v>
      </c>
      <c r="K112" s="204">
        <v>90000</v>
      </c>
      <c r="L112" s="345">
        <v>1</v>
      </c>
      <c r="M112" s="204">
        <v>84000</v>
      </c>
      <c r="N112" s="345">
        <v>1</v>
      </c>
      <c r="O112" s="204">
        <v>168000</v>
      </c>
    </row>
    <row r="113" spans="2:15" ht="18" customHeight="1" x14ac:dyDescent="0.25">
      <c r="B113" s="497">
        <v>37</v>
      </c>
      <c r="C113" s="147" t="s">
        <v>360</v>
      </c>
      <c r="D113" s="345">
        <v>1</v>
      </c>
      <c r="E113" s="204">
        <v>252000</v>
      </c>
      <c r="F113" s="345">
        <v>3</v>
      </c>
      <c r="G113" s="204">
        <v>280000</v>
      </c>
      <c r="H113" s="345">
        <v>2</v>
      </c>
      <c r="I113" s="532">
        <v>98000</v>
      </c>
      <c r="J113" s="345">
        <v>5</v>
      </c>
      <c r="K113" s="204">
        <v>90000</v>
      </c>
      <c r="L113" s="345">
        <v>1</v>
      </c>
      <c r="M113" s="204">
        <v>84000</v>
      </c>
      <c r="N113" s="345">
        <v>1</v>
      </c>
      <c r="O113" s="204">
        <v>168000</v>
      </c>
    </row>
    <row r="114" spans="2:15" ht="18" customHeight="1" x14ac:dyDescent="0.25">
      <c r="B114" s="497">
        <v>38</v>
      </c>
      <c r="C114" s="147" t="s">
        <v>361</v>
      </c>
      <c r="D114" s="345">
        <v>1</v>
      </c>
      <c r="E114" s="204">
        <v>252000</v>
      </c>
      <c r="F114" s="345">
        <v>2</v>
      </c>
      <c r="G114" s="204">
        <v>280000</v>
      </c>
      <c r="H114" s="345">
        <v>2</v>
      </c>
      <c r="I114" s="532">
        <v>98000</v>
      </c>
      <c r="J114" s="345">
        <v>5</v>
      </c>
      <c r="K114" s="204">
        <v>90000</v>
      </c>
      <c r="L114" s="345">
        <v>1</v>
      </c>
      <c r="M114" s="204">
        <v>84000</v>
      </c>
      <c r="N114" s="345">
        <v>1</v>
      </c>
      <c r="O114" s="204">
        <v>168000</v>
      </c>
    </row>
    <row r="115" spans="2:15" ht="18" customHeight="1" x14ac:dyDescent="0.25">
      <c r="B115" s="497">
        <v>39</v>
      </c>
      <c r="C115" s="147" t="s">
        <v>279</v>
      </c>
      <c r="D115" s="345"/>
      <c r="E115" s="204"/>
      <c r="F115" s="345">
        <v>2</v>
      </c>
      <c r="G115" s="204">
        <v>280000</v>
      </c>
      <c r="H115" s="345">
        <v>2</v>
      </c>
      <c r="I115" s="532">
        <v>98000</v>
      </c>
      <c r="J115" s="345">
        <v>1</v>
      </c>
      <c r="K115" s="204">
        <v>90000</v>
      </c>
      <c r="L115" s="345">
        <v>1</v>
      </c>
      <c r="M115" s="204">
        <v>84000</v>
      </c>
      <c r="N115" s="345">
        <v>1</v>
      </c>
      <c r="O115" s="204">
        <v>168000</v>
      </c>
    </row>
    <row r="116" spans="2:15" ht="18" customHeight="1" x14ac:dyDescent="0.25">
      <c r="B116" s="497">
        <v>40</v>
      </c>
      <c r="C116" s="147" t="s">
        <v>1795</v>
      </c>
      <c r="D116" s="345">
        <v>3</v>
      </c>
      <c r="E116" s="204">
        <v>252000</v>
      </c>
      <c r="F116" s="345">
        <v>20</v>
      </c>
      <c r="G116" s="204">
        <v>280000</v>
      </c>
      <c r="H116" s="345">
        <v>30</v>
      </c>
      <c r="I116" s="532">
        <v>98000</v>
      </c>
      <c r="J116" s="345">
        <v>40</v>
      </c>
      <c r="K116" s="204">
        <v>90000</v>
      </c>
      <c r="L116" s="345"/>
      <c r="M116" s="204"/>
      <c r="N116" s="345">
        <v>10</v>
      </c>
      <c r="O116" s="204">
        <v>168000</v>
      </c>
    </row>
    <row r="117" spans="2:15" ht="18" customHeight="1" x14ac:dyDescent="0.25">
      <c r="B117" s="148"/>
      <c r="C117" s="207" t="s">
        <v>297</v>
      </c>
      <c r="D117" s="501">
        <f>SUM(D73:D116)</f>
        <v>20</v>
      </c>
      <c r="E117" s="196">
        <f>SUM(E73:E116)</f>
        <v>4536000</v>
      </c>
      <c r="F117" s="501">
        <f>SUM(F73:F116)</f>
        <v>40</v>
      </c>
      <c r="G117" s="196">
        <f t="shared" ref="G117:O117" si="1">SUM(G73:G116)</f>
        <v>4480000</v>
      </c>
      <c r="H117" s="501">
        <f t="shared" si="1"/>
        <v>50</v>
      </c>
      <c r="I117" s="196">
        <f t="shared" si="1"/>
        <v>1470000</v>
      </c>
      <c r="J117" s="501">
        <f t="shared" si="1"/>
        <v>90</v>
      </c>
      <c r="K117" s="196">
        <f t="shared" si="1"/>
        <v>3600000</v>
      </c>
      <c r="L117" s="501">
        <f t="shared" si="1"/>
        <v>10</v>
      </c>
      <c r="M117" s="196">
        <f t="shared" si="1"/>
        <v>840000</v>
      </c>
      <c r="N117" s="501">
        <f t="shared" si="1"/>
        <v>20</v>
      </c>
      <c r="O117" s="196">
        <f t="shared" si="1"/>
        <v>1848000</v>
      </c>
    </row>
    <row r="118" spans="2:15" ht="18" customHeight="1" x14ac:dyDescent="0.25">
      <c r="B118" s="892"/>
      <c r="C118" s="909"/>
      <c r="D118" s="909"/>
      <c r="E118" s="909"/>
      <c r="F118" s="909"/>
      <c r="G118" s="909"/>
      <c r="H118" s="909"/>
      <c r="I118" s="909"/>
      <c r="J118" s="909"/>
      <c r="K118" s="909"/>
      <c r="L118" s="909"/>
      <c r="M118" s="867" t="s">
        <v>298</v>
      </c>
      <c r="N118" s="867"/>
      <c r="O118" s="192">
        <f>+E117+G117+I117+K117+M117+O117</f>
        <v>16774000</v>
      </c>
    </row>
  </sheetData>
  <mergeCells count="20">
    <mergeCell ref="B3:O3"/>
    <mergeCell ref="B4:O4"/>
    <mergeCell ref="B5:O5"/>
    <mergeCell ref="B6:O6"/>
    <mergeCell ref="B7:G7"/>
    <mergeCell ref="I7:I8"/>
    <mergeCell ref="J7:J8"/>
    <mergeCell ref="K7:N7"/>
    <mergeCell ref="O7:O8"/>
    <mergeCell ref="M118:N118"/>
    <mergeCell ref="B118:L118"/>
    <mergeCell ref="D54:E54"/>
    <mergeCell ref="F54:G54"/>
    <mergeCell ref="M54:N54"/>
    <mergeCell ref="B57:O57"/>
    <mergeCell ref="B58:O58"/>
    <mergeCell ref="B68:O68"/>
    <mergeCell ref="B69:O69"/>
    <mergeCell ref="B70:O70"/>
    <mergeCell ref="B71:O71"/>
  </mergeCells>
  <pageMargins left="0.7" right="0.7" top="0.75" bottom="0.75" header="0.3" footer="0.3"/>
  <pageSetup paperSize="5" scale="8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Q175"/>
  <sheetViews>
    <sheetView view="pageLayout" topLeftCell="B1" zoomScaleNormal="90" workbookViewId="0">
      <selection activeCell="O50" sqref="O50"/>
    </sheetView>
  </sheetViews>
  <sheetFormatPr baseColWidth="10" defaultRowHeight="12" x14ac:dyDescent="0.25"/>
  <cols>
    <col min="1" max="1" width="11.42578125" style="329"/>
    <col min="2" max="2" width="5.85546875" style="329" customWidth="1"/>
    <col min="3" max="3" width="28" style="329" customWidth="1"/>
    <col min="4" max="4" width="7" style="340" customWidth="1"/>
    <col min="5" max="5" width="11.42578125" style="329"/>
    <col min="6" max="6" width="7.42578125" style="340" customWidth="1"/>
    <col min="7" max="7" width="11.42578125" style="329"/>
    <col min="8" max="8" width="6.7109375" style="340" customWidth="1"/>
    <col min="9" max="9" width="11.42578125" style="329"/>
    <col min="10" max="10" width="7.5703125" style="340" customWidth="1"/>
    <col min="11" max="11" width="11.42578125" style="329"/>
    <col min="12" max="12" width="6" style="340" customWidth="1"/>
    <col min="13" max="13" width="11.42578125" style="329"/>
    <col min="14" max="14" width="5.42578125" style="340" customWidth="1"/>
    <col min="15" max="15" width="11.42578125" style="329"/>
    <col min="16" max="16" width="6.140625" style="340" customWidth="1"/>
    <col min="17" max="16384" width="11.42578125" style="329"/>
  </cols>
  <sheetData>
    <row r="1" spans="2:17" ht="18" customHeight="1" x14ac:dyDescent="0.25">
      <c r="B1" s="922" t="s">
        <v>232</v>
      </c>
      <c r="C1" s="922"/>
      <c r="D1" s="922"/>
      <c r="E1" s="922"/>
      <c r="F1" s="922"/>
      <c r="G1" s="922"/>
      <c r="H1" s="922"/>
      <c r="I1" s="922"/>
      <c r="J1" s="922"/>
      <c r="K1" s="922"/>
      <c r="L1" s="922"/>
      <c r="M1" s="922"/>
      <c r="N1" s="922"/>
      <c r="O1" s="922"/>
      <c r="P1" s="922"/>
      <c r="Q1" s="922"/>
    </row>
    <row r="2" spans="2:17" ht="18" customHeight="1" x14ac:dyDescent="0.25">
      <c r="B2" s="923" t="s">
        <v>1777</v>
      </c>
      <c r="C2" s="923"/>
      <c r="D2" s="923"/>
      <c r="E2" s="923"/>
      <c r="F2" s="923"/>
      <c r="G2" s="923"/>
      <c r="H2" s="923"/>
      <c r="I2" s="923"/>
      <c r="J2" s="923"/>
      <c r="K2" s="923"/>
      <c r="L2" s="923"/>
      <c r="M2" s="923"/>
      <c r="N2" s="923"/>
      <c r="O2" s="923"/>
      <c r="P2" s="923"/>
      <c r="Q2" s="923"/>
    </row>
    <row r="3" spans="2:17" ht="18" customHeight="1" x14ac:dyDescent="0.25">
      <c r="B3" s="918" t="s">
        <v>343</v>
      </c>
      <c r="C3" s="918"/>
      <c r="D3" s="918"/>
      <c r="E3" s="918"/>
      <c r="F3" s="918"/>
      <c r="G3" s="918"/>
      <c r="H3" s="918"/>
      <c r="I3" s="918"/>
      <c r="J3" s="918"/>
      <c r="K3" s="918"/>
      <c r="L3" s="918"/>
      <c r="M3" s="918"/>
      <c r="N3" s="918"/>
      <c r="O3" s="918"/>
      <c r="P3" s="918"/>
      <c r="Q3" s="918"/>
    </row>
    <row r="4" spans="2:17" ht="18" customHeight="1" x14ac:dyDescent="0.25">
      <c r="B4" s="918" t="s">
        <v>344</v>
      </c>
      <c r="C4" s="918"/>
      <c r="D4" s="918"/>
      <c r="E4" s="918"/>
      <c r="F4" s="918"/>
      <c r="G4" s="918"/>
      <c r="H4" s="918"/>
      <c r="I4" s="918"/>
      <c r="J4" s="918"/>
      <c r="K4" s="918"/>
      <c r="L4" s="918"/>
      <c r="M4" s="918"/>
      <c r="N4" s="918"/>
      <c r="O4" s="918"/>
      <c r="P4" s="918"/>
      <c r="Q4" s="918"/>
    </row>
    <row r="5" spans="2:17" s="340" customFormat="1" ht="123.75" customHeight="1" x14ac:dyDescent="0.25">
      <c r="B5" s="311" t="s">
        <v>346</v>
      </c>
      <c r="C5" s="308" t="s">
        <v>347</v>
      </c>
      <c r="D5" s="306" t="s">
        <v>1796</v>
      </c>
      <c r="E5" s="306" t="s">
        <v>1784</v>
      </c>
      <c r="F5" s="306" t="s">
        <v>1797</v>
      </c>
      <c r="G5" s="306" t="s">
        <v>1784</v>
      </c>
      <c r="H5" s="306" t="s">
        <v>1798</v>
      </c>
      <c r="I5" s="306" t="s">
        <v>1784</v>
      </c>
      <c r="J5" s="306" t="s">
        <v>1799</v>
      </c>
      <c r="K5" s="306" t="s">
        <v>1784</v>
      </c>
      <c r="L5" s="306" t="s">
        <v>1800</v>
      </c>
      <c r="M5" s="306" t="s">
        <v>1390</v>
      </c>
      <c r="N5" s="306" t="s">
        <v>1801</v>
      </c>
      <c r="O5" s="306" t="s">
        <v>1784</v>
      </c>
      <c r="P5" s="306" t="s">
        <v>1802</v>
      </c>
      <c r="Q5" s="306" t="s">
        <v>1784</v>
      </c>
    </row>
    <row r="6" spans="2:17" ht="18" customHeight="1" x14ac:dyDescent="0.25">
      <c r="B6" s="309">
        <v>1</v>
      </c>
      <c r="C6" s="310" t="s">
        <v>241</v>
      </c>
      <c r="D6" s="330"/>
      <c r="E6" s="307"/>
      <c r="F6" s="330"/>
      <c r="G6" s="307"/>
      <c r="H6" s="330"/>
      <c r="I6" s="307"/>
      <c r="J6" s="330">
        <v>1</v>
      </c>
      <c r="K6" s="307">
        <v>112000</v>
      </c>
      <c r="L6" s="330"/>
      <c r="M6" s="307"/>
      <c r="N6" s="330"/>
      <c r="O6" s="307"/>
      <c r="P6" s="330"/>
      <c r="Q6" s="307"/>
    </row>
    <row r="7" spans="2:17" ht="18" customHeight="1" x14ac:dyDescent="0.25">
      <c r="B7" s="309">
        <v>2</v>
      </c>
      <c r="C7" s="310" t="s">
        <v>242</v>
      </c>
      <c r="D7" s="330"/>
      <c r="E7" s="307"/>
      <c r="F7" s="330"/>
      <c r="G7" s="307"/>
      <c r="H7" s="330"/>
      <c r="I7" s="307"/>
      <c r="J7" s="330">
        <v>1</v>
      </c>
      <c r="K7" s="307">
        <v>112000</v>
      </c>
      <c r="L7" s="330"/>
      <c r="M7" s="307"/>
      <c r="N7" s="330"/>
      <c r="O7" s="307"/>
      <c r="P7" s="330"/>
      <c r="Q7" s="307"/>
    </row>
    <row r="8" spans="2:17" ht="18" customHeight="1" x14ac:dyDescent="0.25">
      <c r="B8" s="309">
        <v>3</v>
      </c>
      <c r="C8" s="310" t="s">
        <v>1786</v>
      </c>
      <c r="D8" s="330"/>
      <c r="E8" s="307"/>
      <c r="F8" s="330"/>
      <c r="G8" s="307"/>
      <c r="H8" s="330"/>
      <c r="I8" s="307"/>
      <c r="J8" s="330"/>
      <c r="K8" s="307"/>
      <c r="L8" s="330"/>
      <c r="M8" s="307"/>
      <c r="N8" s="330"/>
      <c r="O8" s="307"/>
      <c r="P8" s="330"/>
      <c r="Q8" s="307"/>
    </row>
    <row r="9" spans="2:17" ht="18" customHeight="1" x14ac:dyDescent="0.25">
      <c r="B9" s="309">
        <v>4</v>
      </c>
      <c r="C9" s="310" t="s">
        <v>1787</v>
      </c>
      <c r="D9" s="330">
        <v>1</v>
      </c>
      <c r="E9" s="307">
        <v>28000</v>
      </c>
      <c r="F9" s="330"/>
      <c r="G9" s="307"/>
      <c r="H9" s="330"/>
      <c r="I9" s="307"/>
      <c r="J9" s="330"/>
      <c r="K9" s="307"/>
      <c r="L9" s="330"/>
      <c r="M9" s="307"/>
      <c r="N9" s="330"/>
      <c r="O9" s="307"/>
      <c r="P9" s="330"/>
      <c r="Q9" s="307"/>
    </row>
    <row r="10" spans="2:17" ht="18" customHeight="1" x14ac:dyDescent="0.25">
      <c r="B10" s="309">
        <v>5</v>
      </c>
      <c r="C10" s="310" t="s">
        <v>244</v>
      </c>
      <c r="D10" s="330"/>
      <c r="E10" s="307"/>
      <c r="F10" s="330"/>
      <c r="G10" s="307"/>
      <c r="H10" s="330"/>
      <c r="I10" s="307"/>
      <c r="J10" s="330">
        <v>1</v>
      </c>
      <c r="K10" s="307">
        <v>112000</v>
      </c>
      <c r="L10" s="330"/>
      <c r="M10" s="307"/>
      <c r="N10" s="330"/>
      <c r="O10" s="307"/>
      <c r="P10" s="330"/>
      <c r="Q10" s="307"/>
    </row>
    <row r="11" spans="2:17" ht="18" customHeight="1" x14ac:dyDescent="0.25">
      <c r="B11" s="309">
        <v>6</v>
      </c>
      <c r="C11" s="310" t="s">
        <v>316</v>
      </c>
      <c r="D11" s="330">
        <v>1</v>
      </c>
      <c r="E11" s="307">
        <v>28000</v>
      </c>
      <c r="F11" s="330"/>
      <c r="G11" s="307"/>
      <c r="H11" s="330"/>
      <c r="I11" s="307"/>
      <c r="J11" s="330"/>
      <c r="K11" s="307"/>
      <c r="L11" s="330"/>
      <c r="M11" s="307"/>
      <c r="N11" s="330"/>
      <c r="O11" s="307"/>
      <c r="P11" s="330"/>
      <c r="Q11" s="307"/>
    </row>
    <row r="12" spans="2:17" ht="18" customHeight="1" x14ac:dyDescent="0.25">
      <c r="B12" s="309">
        <v>7</v>
      </c>
      <c r="C12" s="310" t="s">
        <v>246</v>
      </c>
      <c r="D12" s="330">
        <v>1</v>
      </c>
      <c r="E12" s="307">
        <v>28000</v>
      </c>
      <c r="F12" s="330"/>
      <c r="G12" s="307"/>
      <c r="H12" s="330"/>
      <c r="I12" s="307"/>
      <c r="J12" s="330"/>
      <c r="K12" s="307"/>
      <c r="L12" s="330"/>
      <c r="M12" s="307"/>
      <c r="N12" s="330"/>
      <c r="O12" s="307"/>
      <c r="P12" s="330"/>
      <c r="Q12" s="307"/>
    </row>
    <row r="13" spans="2:17" ht="18" customHeight="1" x14ac:dyDescent="0.25">
      <c r="B13" s="309">
        <v>8</v>
      </c>
      <c r="C13" s="310" t="s">
        <v>247</v>
      </c>
      <c r="D13" s="330">
        <v>1</v>
      </c>
      <c r="E13" s="307">
        <v>28000</v>
      </c>
      <c r="F13" s="330"/>
      <c r="G13" s="307"/>
      <c r="H13" s="330"/>
      <c r="I13" s="307"/>
      <c r="J13" s="330"/>
      <c r="K13" s="307"/>
      <c r="L13" s="330"/>
      <c r="M13" s="307"/>
      <c r="N13" s="330"/>
      <c r="O13" s="307"/>
      <c r="P13" s="330"/>
      <c r="Q13" s="307"/>
    </row>
    <row r="14" spans="2:17" ht="18" customHeight="1" x14ac:dyDescent="0.25">
      <c r="B14" s="309">
        <v>9</v>
      </c>
      <c r="C14" s="310" t="s">
        <v>249</v>
      </c>
      <c r="D14" s="330">
        <v>1</v>
      </c>
      <c r="E14" s="307">
        <v>28000</v>
      </c>
      <c r="F14" s="330"/>
      <c r="G14" s="307"/>
      <c r="H14" s="330"/>
      <c r="I14" s="307"/>
      <c r="J14" s="330"/>
      <c r="K14" s="307"/>
      <c r="L14" s="330"/>
      <c r="M14" s="307"/>
      <c r="N14" s="330"/>
      <c r="O14" s="307"/>
      <c r="P14" s="330"/>
      <c r="Q14" s="307"/>
    </row>
    <row r="15" spans="2:17" ht="18" customHeight="1" x14ac:dyDescent="0.25">
      <c r="B15" s="309">
        <v>10</v>
      </c>
      <c r="C15" s="310" t="s">
        <v>250</v>
      </c>
      <c r="D15" s="330">
        <v>1</v>
      </c>
      <c r="E15" s="307">
        <v>28000</v>
      </c>
      <c r="F15" s="330"/>
      <c r="G15" s="307"/>
      <c r="H15" s="330"/>
      <c r="I15" s="307"/>
      <c r="J15" s="330">
        <v>1</v>
      </c>
      <c r="K15" s="307">
        <v>112000</v>
      </c>
      <c r="L15" s="330"/>
      <c r="M15" s="307"/>
      <c r="N15" s="330"/>
      <c r="O15" s="307"/>
      <c r="P15" s="330"/>
      <c r="Q15" s="307"/>
    </row>
    <row r="16" spans="2:17" ht="18" customHeight="1" x14ac:dyDescent="0.25">
      <c r="B16" s="309">
        <v>11</v>
      </c>
      <c r="C16" s="310" t="s">
        <v>251</v>
      </c>
      <c r="D16" s="330"/>
      <c r="E16" s="307"/>
      <c r="F16" s="330"/>
      <c r="G16" s="307"/>
      <c r="H16" s="330"/>
      <c r="I16" s="307"/>
      <c r="J16" s="330">
        <v>1</v>
      </c>
      <c r="K16" s="307">
        <v>112000</v>
      </c>
      <c r="L16" s="330">
        <v>1</v>
      </c>
      <c r="M16" s="307">
        <v>250000</v>
      </c>
      <c r="N16" s="330"/>
      <c r="O16" s="307"/>
      <c r="P16" s="330"/>
      <c r="Q16" s="307"/>
    </row>
    <row r="17" spans="2:17" ht="18" customHeight="1" x14ac:dyDescent="0.25">
      <c r="B17" s="309">
        <v>12</v>
      </c>
      <c r="C17" s="310" t="s">
        <v>252</v>
      </c>
      <c r="D17" s="330">
        <v>1</v>
      </c>
      <c r="E17" s="307">
        <v>28000</v>
      </c>
      <c r="F17" s="330"/>
      <c r="G17" s="307"/>
      <c r="H17" s="330"/>
      <c r="I17" s="307"/>
      <c r="J17" s="330">
        <v>1</v>
      </c>
      <c r="K17" s="307">
        <v>112000</v>
      </c>
      <c r="L17" s="330"/>
      <c r="M17" s="307"/>
      <c r="N17" s="330"/>
      <c r="O17" s="307"/>
      <c r="P17" s="330"/>
      <c r="Q17" s="307"/>
    </row>
    <row r="18" spans="2:17" ht="18" customHeight="1" x14ac:dyDescent="0.25">
      <c r="B18" s="309">
        <v>13</v>
      </c>
      <c r="C18" s="310" t="s">
        <v>354</v>
      </c>
      <c r="D18" s="330"/>
      <c r="E18" s="307"/>
      <c r="F18" s="330"/>
      <c r="G18" s="307"/>
      <c r="H18" s="330"/>
      <c r="I18" s="307"/>
      <c r="J18" s="330">
        <v>1</v>
      </c>
      <c r="K18" s="307">
        <v>112000</v>
      </c>
      <c r="L18" s="330"/>
      <c r="M18" s="307"/>
      <c r="N18" s="330"/>
      <c r="O18" s="307"/>
      <c r="P18" s="330"/>
      <c r="Q18" s="307"/>
    </row>
    <row r="19" spans="2:17" ht="18" customHeight="1" x14ac:dyDescent="0.25">
      <c r="B19" s="309">
        <v>14</v>
      </c>
      <c r="C19" s="310" t="s">
        <v>355</v>
      </c>
      <c r="D19" s="330"/>
      <c r="E19" s="307"/>
      <c r="F19" s="330"/>
      <c r="G19" s="307"/>
      <c r="H19" s="330">
        <v>1</v>
      </c>
      <c r="I19" s="307">
        <v>70000</v>
      </c>
      <c r="J19" s="330"/>
      <c r="K19" s="307"/>
      <c r="L19" s="330">
        <v>1</v>
      </c>
      <c r="M19" s="307">
        <v>250000</v>
      </c>
      <c r="N19" s="330"/>
      <c r="O19" s="307"/>
      <c r="P19" s="330"/>
      <c r="Q19" s="307"/>
    </row>
    <row r="20" spans="2:17" ht="18" customHeight="1" x14ac:dyDescent="0.25">
      <c r="B20" s="309">
        <v>15</v>
      </c>
      <c r="C20" s="310" t="s">
        <v>255</v>
      </c>
      <c r="D20" s="330">
        <v>1</v>
      </c>
      <c r="E20" s="307">
        <v>28000</v>
      </c>
      <c r="F20" s="330"/>
      <c r="G20" s="307"/>
      <c r="H20" s="330">
        <v>1</v>
      </c>
      <c r="I20" s="307">
        <v>70000</v>
      </c>
      <c r="J20" s="330"/>
      <c r="K20" s="307"/>
      <c r="L20" s="330"/>
      <c r="M20" s="307"/>
      <c r="N20" s="330"/>
      <c r="O20" s="307"/>
      <c r="P20" s="330"/>
      <c r="Q20" s="307"/>
    </row>
    <row r="21" spans="2:17" ht="18" customHeight="1" x14ac:dyDescent="0.25">
      <c r="B21" s="309">
        <v>16</v>
      </c>
      <c r="C21" s="310" t="s">
        <v>256</v>
      </c>
      <c r="D21" s="330"/>
      <c r="E21" s="307"/>
      <c r="F21" s="330"/>
      <c r="G21" s="307"/>
      <c r="H21" s="330">
        <v>1</v>
      </c>
      <c r="I21" s="307">
        <v>70000</v>
      </c>
      <c r="J21" s="330"/>
      <c r="K21" s="307"/>
      <c r="L21" s="330"/>
      <c r="M21" s="307"/>
      <c r="N21" s="330"/>
      <c r="O21" s="307"/>
      <c r="P21" s="330"/>
      <c r="Q21" s="307"/>
    </row>
    <row r="22" spans="2:17" ht="18" customHeight="1" x14ac:dyDescent="0.25">
      <c r="B22" s="309">
        <v>17</v>
      </c>
      <c r="C22" s="310" t="s">
        <v>257</v>
      </c>
      <c r="D22" s="330"/>
      <c r="E22" s="307"/>
      <c r="F22" s="330"/>
      <c r="G22" s="307"/>
      <c r="H22" s="330"/>
      <c r="I22" s="307"/>
      <c r="J22" s="330">
        <v>1</v>
      </c>
      <c r="K22" s="307">
        <v>112000</v>
      </c>
      <c r="L22" s="330"/>
      <c r="M22" s="307"/>
      <c r="N22" s="330"/>
      <c r="O22" s="307"/>
      <c r="P22" s="330"/>
      <c r="Q22" s="307"/>
    </row>
    <row r="23" spans="2:17" ht="18" customHeight="1" x14ac:dyDescent="0.25">
      <c r="B23" s="309">
        <v>18</v>
      </c>
      <c r="C23" s="310" t="s">
        <v>356</v>
      </c>
      <c r="D23" s="330">
        <v>1</v>
      </c>
      <c r="E23" s="307">
        <v>28000</v>
      </c>
      <c r="F23" s="330"/>
      <c r="G23" s="307"/>
      <c r="H23" s="330">
        <v>1</v>
      </c>
      <c r="I23" s="307">
        <v>70000</v>
      </c>
      <c r="J23" s="330">
        <v>1</v>
      </c>
      <c r="K23" s="307">
        <v>112000</v>
      </c>
      <c r="L23" s="330"/>
      <c r="M23" s="307"/>
      <c r="N23" s="330"/>
      <c r="O23" s="307"/>
      <c r="P23" s="330"/>
      <c r="Q23" s="307"/>
    </row>
    <row r="24" spans="2:17" ht="18" customHeight="1" x14ac:dyDescent="0.25">
      <c r="B24" s="309">
        <v>19</v>
      </c>
      <c r="C24" s="310" t="s">
        <v>357</v>
      </c>
      <c r="D24" s="330"/>
      <c r="E24" s="307"/>
      <c r="F24" s="330"/>
      <c r="G24" s="307"/>
      <c r="H24" s="330">
        <v>1</v>
      </c>
      <c r="I24" s="307">
        <v>70000</v>
      </c>
      <c r="J24" s="330"/>
      <c r="K24" s="307"/>
      <c r="L24" s="330">
        <v>1</v>
      </c>
      <c r="M24" s="307">
        <v>250000</v>
      </c>
      <c r="N24" s="330"/>
      <c r="O24" s="307"/>
      <c r="P24" s="330"/>
      <c r="Q24" s="307"/>
    </row>
    <row r="25" spans="2:17" ht="18" customHeight="1" x14ac:dyDescent="0.25">
      <c r="B25" s="309">
        <v>20</v>
      </c>
      <c r="C25" s="310" t="s">
        <v>570</v>
      </c>
      <c r="D25" s="330"/>
      <c r="E25" s="307"/>
      <c r="F25" s="330"/>
      <c r="G25" s="307"/>
      <c r="H25" s="330"/>
      <c r="I25" s="307"/>
      <c r="J25" s="330"/>
      <c r="K25" s="307"/>
      <c r="L25" s="330"/>
      <c r="M25" s="307"/>
      <c r="N25" s="330"/>
      <c r="O25" s="307"/>
      <c r="P25" s="330"/>
      <c r="Q25" s="307"/>
    </row>
    <row r="26" spans="2:17" ht="18" customHeight="1" x14ac:dyDescent="0.25">
      <c r="B26" s="309">
        <v>21</v>
      </c>
      <c r="C26" s="310" t="s">
        <v>261</v>
      </c>
      <c r="D26" s="330">
        <v>1</v>
      </c>
      <c r="E26" s="307">
        <v>28000</v>
      </c>
      <c r="F26" s="330"/>
      <c r="G26" s="307"/>
      <c r="H26" s="330"/>
      <c r="I26" s="307"/>
      <c r="J26" s="330"/>
      <c r="K26" s="307"/>
      <c r="L26" s="330"/>
      <c r="M26" s="307"/>
      <c r="N26" s="330"/>
      <c r="O26" s="307"/>
      <c r="P26" s="330"/>
      <c r="Q26" s="307"/>
    </row>
    <row r="27" spans="2:17" ht="18" customHeight="1" x14ac:dyDescent="0.25">
      <c r="B27" s="309">
        <v>22</v>
      </c>
      <c r="C27" s="310" t="s">
        <v>262</v>
      </c>
      <c r="D27" s="330"/>
      <c r="E27" s="307"/>
      <c r="F27" s="330"/>
      <c r="G27" s="307"/>
      <c r="H27" s="330"/>
      <c r="I27" s="307"/>
      <c r="J27" s="330">
        <v>1</v>
      </c>
      <c r="K27" s="307">
        <v>112000</v>
      </c>
      <c r="L27" s="330">
        <v>1</v>
      </c>
      <c r="M27" s="307">
        <v>250000</v>
      </c>
      <c r="N27" s="330"/>
      <c r="O27" s="307"/>
      <c r="P27" s="330"/>
      <c r="Q27" s="307"/>
    </row>
    <row r="28" spans="2:17" ht="18" customHeight="1" x14ac:dyDescent="0.25">
      <c r="B28" s="309">
        <v>23</v>
      </c>
      <c r="C28" s="310" t="s">
        <v>263</v>
      </c>
      <c r="D28" s="330"/>
      <c r="E28" s="307"/>
      <c r="F28" s="330"/>
      <c r="G28" s="307"/>
      <c r="H28" s="330"/>
      <c r="I28" s="307"/>
      <c r="J28" s="330"/>
      <c r="K28" s="307"/>
      <c r="L28" s="330"/>
      <c r="M28" s="307"/>
      <c r="N28" s="330"/>
      <c r="O28" s="307"/>
      <c r="P28" s="330"/>
      <c r="Q28" s="307"/>
    </row>
    <row r="29" spans="2:17" ht="18" customHeight="1" x14ac:dyDescent="0.25">
      <c r="B29" s="504"/>
      <c r="C29" s="313"/>
      <c r="D29" s="331"/>
      <c r="E29" s="314"/>
      <c r="F29" s="331"/>
      <c r="G29" s="314"/>
      <c r="H29" s="331"/>
      <c r="I29" s="314"/>
      <c r="J29" s="331"/>
      <c r="K29" s="314"/>
      <c r="L29" s="331"/>
      <c r="M29" s="314"/>
      <c r="N29" s="331"/>
      <c r="O29" s="314"/>
      <c r="P29" s="331"/>
      <c r="Q29" s="314"/>
    </row>
    <row r="30" spans="2:17" ht="18" customHeight="1" x14ac:dyDescent="0.25">
      <c r="B30" s="337"/>
      <c r="C30" s="535"/>
      <c r="D30" s="536"/>
      <c r="E30" s="537"/>
      <c r="F30" s="536"/>
      <c r="G30" s="537"/>
      <c r="H30" s="536"/>
      <c r="I30" s="537"/>
      <c r="J30" s="536"/>
      <c r="K30" s="537"/>
      <c r="L30" s="536"/>
      <c r="M30" s="537"/>
      <c r="N30" s="536"/>
      <c r="O30" s="537"/>
      <c r="P30" s="536"/>
      <c r="Q30" s="537"/>
    </row>
    <row r="31" spans="2:17" ht="18" customHeight="1" x14ac:dyDescent="0.25">
      <c r="B31" s="337"/>
      <c r="C31" s="535"/>
      <c r="D31" s="536"/>
      <c r="E31" s="537"/>
      <c r="F31" s="536"/>
      <c r="G31" s="537"/>
      <c r="H31" s="536"/>
      <c r="I31" s="537"/>
      <c r="J31" s="536"/>
      <c r="K31" s="537"/>
      <c r="L31" s="536"/>
      <c r="M31" s="537"/>
      <c r="N31" s="536"/>
      <c r="O31" s="537"/>
      <c r="P31" s="536"/>
      <c r="Q31" s="537"/>
    </row>
    <row r="32" spans="2:17" ht="18" customHeight="1" x14ac:dyDescent="0.25">
      <c r="B32" s="315"/>
      <c r="C32" s="316"/>
      <c r="D32" s="332"/>
      <c r="E32" s="317"/>
      <c r="F32" s="332"/>
      <c r="G32" s="317"/>
      <c r="H32" s="332"/>
      <c r="I32" s="317"/>
      <c r="J32" s="332"/>
      <c r="K32" s="317"/>
      <c r="L32" s="332"/>
      <c r="M32" s="317"/>
      <c r="N32" s="332"/>
      <c r="O32" s="317"/>
      <c r="P32" s="332"/>
      <c r="Q32" s="317"/>
    </row>
    <row r="33" spans="2:17" ht="18" customHeight="1" x14ac:dyDescent="0.25">
      <c r="B33" s="309">
        <v>24</v>
      </c>
      <c r="C33" s="310" t="s">
        <v>264</v>
      </c>
      <c r="D33" s="330">
        <v>1</v>
      </c>
      <c r="E33" s="307">
        <v>28000</v>
      </c>
      <c r="F33" s="330"/>
      <c r="G33" s="307"/>
      <c r="H33" s="330"/>
      <c r="I33" s="307"/>
      <c r="J33" s="330"/>
      <c r="K33" s="307"/>
      <c r="L33" s="330"/>
      <c r="M33" s="307"/>
      <c r="N33" s="330"/>
      <c r="O33" s="307"/>
      <c r="P33" s="330"/>
      <c r="Q33" s="307"/>
    </row>
    <row r="34" spans="2:17" ht="18" customHeight="1" x14ac:dyDescent="0.25">
      <c r="B34" s="309">
        <v>25</v>
      </c>
      <c r="C34" s="310" t="s">
        <v>265</v>
      </c>
      <c r="D34" s="330"/>
      <c r="E34" s="307"/>
      <c r="F34" s="330"/>
      <c r="G34" s="307"/>
      <c r="H34" s="330">
        <v>3</v>
      </c>
      <c r="I34" s="307">
        <v>70000</v>
      </c>
      <c r="J34" s="330"/>
      <c r="K34" s="307">
        <v>112000</v>
      </c>
      <c r="L34" s="330"/>
      <c r="M34" s="307"/>
      <c r="N34" s="330"/>
      <c r="O34" s="307"/>
      <c r="P34" s="330"/>
      <c r="Q34" s="307"/>
    </row>
    <row r="35" spans="2:17" ht="18" customHeight="1" x14ac:dyDescent="0.25">
      <c r="B35" s="309">
        <v>26</v>
      </c>
      <c r="C35" s="310" t="s">
        <v>266</v>
      </c>
      <c r="D35" s="330"/>
      <c r="E35" s="307"/>
      <c r="F35" s="330"/>
      <c r="G35" s="307"/>
      <c r="H35" s="330">
        <v>1</v>
      </c>
      <c r="I35" s="307">
        <v>70000</v>
      </c>
      <c r="J35" s="330"/>
      <c r="K35" s="307">
        <v>112000</v>
      </c>
      <c r="L35" s="330"/>
      <c r="M35" s="307"/>
      <c r="N35" s="330"/>
      <c r="O35" s="307"/>
      <c r="P35" s="330"/>
      <c r="Q35" s="307"/>
    </row>
    <row r="36" spans="2:17" ht="18" customHeight="1" x14ac:dyDescent="0.25">
      <c r="B36" s="309">
        <v>27</v>
      </c>
      <c r="C36" s="310" t="s">
        <v>267</v>
      </c>
      <c r="D36" s="330">
        <v>1</v>
      </c>
      <c r="E36" s="307">
        <v>28000</v>
      </c>
      <c r="F36" s="330"/>
      <c r="G36" s="307"/>
      <c r="H36" s="330"/>
      <c r="I36" s="307"/>
      <c r="J36" s="330"/>
      <c r="K36" s="307"/>
      <c r="L36" s="330"/>
      <c r="M36" s="307"/>
      <c r="N36" s="330"/>
      <c r="O36" s="307"/>
      <c r="P36" s="330"/>
      <c r="Q36" s="307"/>
    </row>
    <row r="37" spans="2:17" ht="18" customHeight="1" x14ac:dyDescent="0.25">
      <c r="B37" s="309">
        <v>28</v>
      </c>
      <c r="C37" s="310" t="s">
        <v>268</v>
      </c>
      <c r="D37" s="330"/>
      <c r="E37" s="307"/>
      <c r="F37" s="330"/>
      <c r="G37" s="307"/>
      <c r="H37" s="330">
        <v>1</v>
      </c>
      <c r="I37" s="307">
        <v>70000</v>
      </c>
      <c r="J37" s="330"/>
      <c r="K37" s="307">
        <v>112000</v>
      </c>
      <c r="L37" s="330"/>
      <c r="M37" s="307"/>
      <c r="N37" s="330"/>
      <c r="O37" s="307"/>
      <c r="P37" s="330"/>
      <c r="Q37" s="307"/>
    </row>
    <row r="38" spans="2:17" ht="18" customHeight="1" x14ac:dyDescent="0.25">
      <c r="B38" s="309">
        <v>29</v>
      </c>
      <c r="C38" s="310" t="s">
        <v>269</v>
      </c>
      <c r="D38" s="330">
        <v>1</v>
      </c>
      <c r="E38" s="307">
        <v>28000</v>
      </c>
      <c r="F38" s="330"/>
      <c r="G38" s="307"/>
      <c r="H38" s="330">
        <v>1</v>
      </c>
      <c r="I38" s="307">
        <v>70000</v>
      </c>
      <c r="J38" s="330"/>
      <c r="K38" s="307">
        <v>112000</v>
      </c>
      <c r="L38" s="330">
        <v>1</v>
      </c>
      <c r="M38" s="307">
        <v>250000</v>
      </c>
      <c r="N38" s="330"/>
      <c r="O38" s="307"/>
      <c r="P38" s="330"/>
      <c r="Q38" s="307"/>
    </row>
    <row r="39" spans="2:17" ht="18" customHeight="1" x14ac:dyDescent="0.25">
      <c r="B39" s="309">
        <v>30</v>
      </c>
      <c r="C39" s="310" t="s">
        <v>270</v>
      </c>
      <c r="D39" s="330"/>
      <c r="E39" s="307"/>
      <c r="F39" s="330"/>
      <c r="G39" s="307"/>
      <c r="H39" s="330">
        <v>1</v>
      </c>
      <c r="I39" s="307">
        <v>70000</v>
      </c>
      <c r="J39" s="330"/>
      <c r="K39" s="307">
        <v>112000</v>
      </c>
      <c r="L39" s="330"/>
      <c r="M39" s="307"/>
      <c r="N39" s="330"/>
      <c r="O39" s="307"/>
      <c r="P39" s="330"/>
      <c r="Q39" s="307"/>
    </row>
    <row r="40" spans="2:17" ht="18" customHeight="1" x14ac:dyDescent="0.25">
      <c r="B40" s="309">
        <v>31</v>
      </c>
      <c r="C40" s="310" t="s">
        <v>271</v>
      </c>
      <c r="D40" s="330"/>
      <c r="E40" s="307"/>
      <c r="F40" s="330">
        <v>1</v>
      </c>
      <c r="G40" s="307">
        <v>12000</v>
      </c>
      <c r="H40" s="330"/>
      <c r="I40" s="307"/>
      <c r="J40" s="330"/>
      <c r="K40" s="307"/>
      <c r="L40" s="330">
        <v>1</v>
      </c>
      <c r="M40" s="307">
        <v>250000</v>
      </c>
      <c r="N40" s="330"/>
      <c r="O40" s="307"/>
      <c r="P40" s="330"/>
      <c r="Q40" s="307"/>
    </row>
    <row r="41" spans="2:17" ht="18" customHeight="1" x14ac:dyDescent="0.25">
      <c r="B41" s="309">
        <v>32</v>
      </c>
      <c r="C41" s="310" t="s">
        <v>358</v>
      </c>
      <c r="D41" s="330">
        <v>1</v>
      </c>
      <c r="E41" s="307">
        <v>28000</v>
      </c>
      <c r="F41" s="330">
        <v>1</v>
      </c>
      <c r="G41" s="307">
        <v>12000</v>
      </c>
      <c r="H41" s="330">
        <v>1</v>
      </c>
      <c r="I41" s="307">
        <v>70000</v>
      </c>
      <c r="J41" s="330"/>
      <c r="K41" s="307">
        <v>112000</v>
      </c>
      <c r="L41" s="330"/>
      <c r="M41" s="307"/>
      <c r="N41" s="330"/>
      <c r="O41" s="307"/>
      <c r="P41" s="330"/>
      <c r="Q41" s="307"/>
    </row>
    <row r="42" spans="2:17" ht="18" customHeight="1" x14ac:dyDescent="0.25">
      <c r="B42" s="309">
        <v>33</v>
      </c>
      <c r="C42" s="310" t="s">
        <v>273</v>
      </c>
      <c r="D42" s="330"/>
      <c r="E42" s="307"/>
      <c r="F42" s="330">
        <v>1</v>
      </c>
      <c r="G42" s="307">
        <v>12000</v>
      </c>
      <c r="H42" s="330">
        <v>1</v>
      </c>
      <c r="I42" s="307">
        <v>70000</v>
      </c>
      <c r="J42" s="330"/>
      <c r="K42" s="307">
        <v>112000</v>
      </c>
      <c r="L42" s="330"/>
      <c r="M42" s="307"/>
      <c r="N42" s="330"/>
      <c r="O42" s="307"/>
      <c r="P42" s="330"/>
      <c r="Q42" s="307"/>
    </row>
    <row r="43" spans="2:17" ht="18" customHeight="1" x14ac:dyDescent="0.25">
      <c r="B43" s="309">
        <v>34</v>
      </c>
      <c r="C43" s="310" t="s">
        <v>274</v>
      </c>
      <c r="D43" s="330">
        <v>1</v>
      </c>
      <c r="E43" s="307">
        <v>28000</v>
      </c>
      <c r="F43" s="330"/>
      <c r="G43" s="307"/>
      <c r="H43" s="330"/>
      <c r="I43" s="307"/>
      <c r="J43" s="330"/>
      <c r="K43" s="307"/>
      <c r="L43" s="330"/>
      <c r="M43" s="307"/>
      <c r="N43" s="330"/>
      <c r="O43" s="307"/>
      <c r="P43" s="330"/>
      <c r="Q43" s="307"/>
    </row>
    <row r="44" spans="2:17" ht="18" customHeight="1" x14ac:dyDescent="0.25">
      <c r="B44" s="309">
        <v>35</v>
      </c>
      <c r="C44" s="310" t="s">
        <v>275</v>
      </c>
      <c r="D44" s="330"/>
      <c r="E44" s="307"/>
      <c r="F44" s="330"/>
      <c r="G44" s="307"/>
      <c r="H44" s="330">
        <v>1</v>
      </c>
      <c r="I44" s="307">
        <v>70000</v>
      </c>
      <c r="J44" s="330">
        <v>1</v>
      </c>
      <c r="K44" s="307">
        <v>112000</v>
      </c>
      <c r="L44" s="330">
        <v>1</v>
      </c>
      <c r="M44" s="307">
        <v>250000</v>
      </c>
      <c r="N44" s="330"/>
      <c r="O44" s="307"/>
      <c r="P44" s="330"/>
      <c r="Q44" s="307"/>
    </row>
    <row r="45" spans="2:17" ht="18" customHeight="1" x14ac:dyDescent="0.25">
      <c r="B45" s="309">
        <v>36</v>
      </c>
      <c r="C45" s="310" t="s">
        <v>359</v>
      </c>
      <c r="D45" s="330">
        <v>2</v>
      </c>
      <c r="E45" s="307">
        <v>28000</v>
      </c>
      <c r="F45" s="330"/>
      <c r="G45" s="307"/>
      <c r="H45" s="330">
        <v>1</v>
      </c>
      <c r="I45" s="307">
        <v>70000</v>
      </c>
      <c r="J45" s="330">
        <v>2</v>
      </c>
      <c r="K45" s="307">
        <v>112000</v>
      </c>
      <c r="L45" s="330">
        <v>1</v>
      </c>
      <c r="M45" s="307">
        <v>250000</v>
      </c>
      <c r="N45" s="330"/>
      <c r="O45" s="307"/>
      <c r="P45" s="330"/>
      <c r="Q45" s="307"/>
    </row>
    <row r="46" spans="2:17" ht="18" customHeight="1" x14ac:dyDescent="0.25">
      <c r="B46" s="309">
        <v>37</v>
      </c>
      <c r="C46" s="310" t="s">
        <v>360</v>
      </c>
      <c r="D46" s="330">
        <v>2</v>
      </c>
      <c r="E46" s="307">
        <v>28000</v>
      </c>
      <c r="F46" s="330">
        <v>2</v>
      </c>
      <c r="G46" s="307">
        <v>12000</v>
      </c>
      <c r="H46" s="330">
        <v>1</v>
      </c>
      <c r="I46" s="307">
        <v>70000</v>
      </c>
      <c r="J46" s="330">
        <v>2</v>
      </c>
      <c r="K46" s="307">
        <v>112000</v>
      </c>
      <c r="L46" s="330">
        <v>1</v>
      </c>
      <c r="M46" s="307">
        <v>250000</v>
      </c>
      <c r="N46" s="330"/>
      <c r="O46" s="307"/>
      <c r="P46" s="330"/>
      <c r="Q46" s="307"/>
    </row>
    <row r="47" spans="2:17" ht="18" customHeight="1" x14ac:dyDescent="0.25">
      <c r="B47" s="309">
        <v>38</v>
      </c>
      <c r="C47" s="310" t="s">
        <v>361</v>
      </c>
      <c r="D47" s="330">
        <v>2</v>
      </c>
      <c r="E47" s="307">
        <v>28000</v>
      </c>
      <c r="F47" s="330">
        <v>2</v>
      </c>
      <c r="G47" s="307">
        <v>12000</v>
      </c>
      <c r="H47" s="330">
        <v>2</v>
      </c>
      <c r="I47" s="307">
        <v>70000</v>
      </c>
      <c r="J47" s="330"/>
      <c r="K47" s="307"/>
      <c r="L47" s="330">
        <v>1</v>
      </c>
      <c r="M47" s="307">
        <v>250000</v>
      </c>
      <c r="N47" s="330"/>
      <c r="O47" s="307"/>
      <c r="P47" s="330"/>
      <c r="Q47" s="307"/>
    </row>
    <row r="48" spans="2:17" ht="18" customHeight="1" x14ac:dyDescent="0.25">
      <c r="B48" s="309">
        <v>39</v>
      </c>
      <c r="C48" s="310" t="s">
        <v>279</v>
      </c>
      <c r="D48" s="330">
        <v>2</v>
      </c>
      <c r="E48" s="307">
        <v>28000</v>
      </c>
      <c r="F48" s="330">
        <v>2</v>
      </c>
      <c r="G48" s="307">
        <v>12000</v>
      </c>
      <c r="H48" s="330">
        <v>1</v>
      </c>
      <c r="I48" s="307">
        <v>70000</v>
      </c>
      <c r="J48" s="330"/>
      <c r="K48" s="307"/>
      <c r="L48" s="330"/>
      <c r="M48" s="307"/>
      <c r="N48" s="330"/>
      <c r="O48" s="307"/>
      <c r="P48" s="330"/>
      <c r="Q48" s="307"/>
    </row>
    <row r="49" spans="2:17" ht="18" customHeight="1" x14ac:dyDescent="0.25">
      <c r="B49" s="309">
        <v>40</v>
      </c>
      <c r="C49" s="310" t="s">
        <v>280</v>
      </c>
      <c r="D49" s="330">
        <v>40</v>
      </c>
      <c r="E49" s="307">
        <v>28000</v>
      </c>
      <c r="F49" s="330">
        <v>3</v>
      </c>
      <c r="G49" s="307">
        <v>12000</v>
      </c>
      <c r="H49" s="330">
        <v>15</v>
      </c>
      <c r="I49" s="307">
        <v>70000</v>
      </c>
      <c r="J49" s="330">
        <v>15</v>
      </c>
      <c r="K49" s="307">
        <v>112000</v>
      </c>
      <c r="L49" s="330">
        <v>20</v>
      </c>
      <c r="M49" s="307">
        <v>250000</v>
      </c>
      <c r="N49" s="330">
        <v>5</v>
      </c>
      <c r="O49" s="307">
        <v>260000</v>
      </c>
      <c r="P49" s="330">
        <v>5</v>
      </c>
      <c r="Q49" s="307">
        <v>90000</v>
      </c>
    </row>
    <row r="50" spans="2:17" ht="18" customHeight="1" x14ac:dyDescent="0.25">
      <c r="B50" s="318"/>
      <c r="C50" s="312" t="s">
        <v>297</v>
      </c>
      <c r="D50" s="320">
        <f>SUM(D6:D49)</f>
        <v>63</v>
      </c>
      <c r="E50" s="319">
        <f t="shared" ref="E50:Q50" si="0">SUM(E6:E49)</f>
        <v>560000</v>
      </c>
      <c r="F50" s="320">
        <f t="shared" si="0"/>
        <v>12</v>
      </c>
      <c r="G50" s="319">
        <f t="shared" si="0"/>
        <v>84000</v>
      </c>
      <c r="H50" s="320">
        <f t="shared" si="0"/>
        <v>35</v>
      </c>
      <c r="I50" s="319">
        <f t="shared" si="0"/>
        <v>1260000</v>
      </c>
      <c r="J50" s="320">
        <f t="shared" si="0"/>
        <v>30</v>
      </c>
      <c r="K50" s="319">
        <f t="shared" si="0"/>
        <v>2352000</v>
      </c>
      <c r="L50" s="320">
        <f t="shared" si="0"/>
        <v>30</v>
      </c>
      <c r="M50" s="319">
        <f t="shared" si="0"/>
        <v>2750000</v>
      </c>
      <c r="N50" s="320">
        <f t="shared" si="0"/>
        <v>5</v>
      </c>
      <c r="O50" s="319">
        <f t="shared" si="0"/>
        <v>260000</v>
      </c>
      <c r="P50" s="320">
        <f t="shared" si="0"/>
        <v>5</v>
      </c>
      <c r="Q50" s="319">
        <f t="shared" si="0"/>
        <v>90000</v>
      </c>
    </row>
    <row r="51" spans="2:17" ht="18" customHeight="1" x14ac:dyDescent="0.25">
      <c r="B51" s="920"/>
      <c r="C51" s="920"/>
      <c r="D51" s="920"/>
      <c r="E51" s="920"/>
      <c r="F51" s="920"/>
      <c r="G51" s="920"/>
      <c r="H51" s="920"/>
      <c r="I51" s="920"/>
      <c r="J51" s="920"/>
      <c r="K51" s="920"/>
      <c r="L51" s="920"/>
      <c r="M51" s="921"/>
      <c r="N51" s="918" t="s">
        <v>1788</v>
      </c>
      <c r="O51" s="918"/>
      <c r="P51" s="918"/>
      <c r="Q51" s="333">
        <f>+Q50+O50+M50+K50+I50+G50+E50</f>
        <v>7356000</v>
      </c>
    </row>
    <row r="52" spans="2:17" ht="18" customHeight="1" x14ac:dyDescent="0.25">
      <c r="B52" s="334"/>
      <c r="C52" s="335"/>
      <c r="D52" s="336"/>
      <c r="E52" s="336"/>
      <c r="F52" s="337"/>
      <c r="G52" s="337"/>
      <c r="H52" s="337"/>
      <c r="I52" s="328"/>
      <c r="J52" s="337"/>
      <c r="K52" s="328"/>
      <c r="L52" s="337"/>
      <c r="M52" s="328"/>
      <c r="N52" s="338"/>
      <c r="O52" s="338"/>
      <c r="P52" s="338"/>
      <c r="Q52" s="339"/>
    </row>
    <row r="53" spans="2:17" ht="18" customHeight="1" x14ac:dyDescent="0.25">
      <c r="B53" s="328" t="s">
        <v>362</v>
      </c>
      <c r="C53" s="328"/>
      <c r="D53" s="337"/>
      <c r="E53" s="328"/>
      <c r="F53" s="337"/>
      <c r="G53" s="328"/>
      <c r="H53" s="337"/>
      <c r="I53" s="328"/>
      <c r="J53" s="337"/>
      <c r="K53" s="328"/>
      <c r="L53" s="337"/>
      <c r="M53" s="328"/>
      <c r="N53" s="337"/>
      <c r="O53" s="328"/>
      <c r="P53" s="337"/>
      <c r="Q53" s="328"/>
    </row>
    <row r="54" spans="2:17" ht="18" customHeight="1" x14ac:dyDescent="0.25">
      <c r="B54" s="919" t="s">
        <v>363</v>
      </c>
      <c r="C54" s="919"/>
      <c r="D54" s="919"/>
      <c r="E54" s="919"/>
      <c r="F54" s="919"/>
      <c r="G54" s="919"/>
      <c r="H54" s="919"/>
      <c r="I54" s="919"/>
      <c r="J54" s="919"/>
      <c r="K54" s="919"/>
      <c r="L54" s="919"/>
      <c r="M54" s="919"/>
      <c r="N54" s="919"/>
      <c r="O54" s="919"/>
      <c r="P54" s="919"/>
      <c r="Q54" s="919"/>
    </row>
    <row r="55" spans="2:17" ht="18" customHeight="1" x14ac:dyDescent="0.25">
      <c r="B55" s="919" t="s">
        <v>364</v>
      </c>
      <c r="C55" s="919"/>
      <c r="D55" s="919"/>
      <c r="E55" s="919"/>
      <c r="F55" s="919"/>
      <c r="G55" s="919"/>
      <c r="H55" s="919"/>
      <c r="I55" s="919"/>
      <c r="J55" s="919"/>
      <c r="K55" s="919"/>
      <c r="L55" s="919"/>
      <c r="M55" s="919"/>
      <c r="N55" s="919"/>
      <c r="O55" s="919"/>
      <c r="P55" s="919"/>
      <c r="Q55" s="919"/>
    </row>
    <row r="56" spans="2:17" ht="18" customHeight="1" x14ac:dyDescent="0.25"/>
    <row r="57" spans="2:17" ht="18" customHeight="1" x14ac:dyDescent="0.25"/>
    <row r="58" spans="2:17" ht="18" customHeight="1" x14ac:dyDescent="0.25"/>
    <row r="59" spans="2:17" ht="18" customHeight="1" x14ac:dyDescent="0.25"/>
    <row r="60" spans="2:17" ht="18" customHeight="1" x14ac:dyDescent="0.25"/>
    <row r="61" spans="2:17" ht="18" customHeight="1" x14ac:dyDescent="0.25"/>
    <row r="62" spans="2:17" ht="18" customHeight="1" x14ac:dyDescent="0.25"/>
    <row r="63" spans="2:17" ht="18" customHeight="1" x14ac:dyDescent="0.25"/>
    <row r="64" spans="2:17"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sheetData>
  <mergeCells count="8">
    <mergeCell ref="N51:P51"/>
    <mergeCell ref="B54:Q54"/>
    <mergeCell ref="B55:Q55"/>
    <mergeCell ref="B51:M51"/>
    <mergeCell ref="B1:Q1"/>
    <mergeCell ref="B2:Q2"/>
    <mergeCell ref="B3:Q3"/>
    <mergeCell ref="B4:Q4"/>
  </mergeCells>
  <pageMargins left="1.28" right="0.7" top="0.75" bottom="0.75" header="0.3" footer="0.3"/>
  <pageSetup paperSize="5" scale="80" orientation="landscape" r:id="rId1"/>
  <headerFooter>
    <oddFooter xml:space="preserve">&amp;C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T77"/>
  <sheetViews>
    <sheetView view="pageLayout" zoomScaleNormal="80" workbookViewId="0">
      <selection activeCell="O29" sqref="O29:R30"/>
    </sheetView>
  </sheetViews>
  <sheetFormatPr baseColWidth="10" defaultRowHeight="12" x14ac:dyDescent="0.25"/>
  <cols>
    <col min="1" max="1" width="11.42578125" style="329"/>
    <col min="2" max="2" width="6" style="329" customWidth="1"/>
    <col min="3" max="3" width="29.140625" style="329" customWidth="1"/>
    <col min="4" max="4" width="5.7109375" style="340" customWidth="1"/>
    <col min="5" max="5" width="11.5703125" style="329" bestFit="1" customWidth="1"/>
    <col min="6" max="6" width="5.7109375" style="340" customWidth="1"/>
    <col min="7" max="7" width="11.5703125" style="329" bestFit="1" customWidth="1"/>
    <col min="8" max="8" width="5.7109375" style="340" customWidth="1"/>
    <col min="9" max="9" width="11.5703125" style="329" bestFit="1" customWidth="1"/>
    <col min="10" max="10" width="5.7109375" style="340" customWidth="1"/>
    <col min="11" max="11" width="11.5703125" style="329" bestFit="1" customWidth="1"/>
    <col min="12" max="12" width="5.7109375" style="340" customWidth="1"/>
    <col min="13" max="13" width="11.5703125" style="329" bestFit="1" customWidth="1"/>
    <col min="14" max="14" width="5.7109375" style="340" customWidth="1"/>
    <col min="15" max="15" width="11.5703125" style="329" bestFit="1" customWidth="1"/>
    <col min="16" max="16" width="13" style="329" customWidth="1"/>
    <col min="17" max="17" width="5.7109375" style="340" customWidth="1"/>
    <col min="18" max="18" width="13.42578125" style="329" customWidth="1"/>
    <col min="19" max="19" width="5.7109375" style="340" customWidth="1"/>
    <col min="20" max="20" width="15.85546875" style="329" customWidth="1"/>
    <col min="21" max="16384" width="11.42578125" style="329"/>
  </cols>
  <sheetData>
    <row r="3" spans="2:20" ht="18" customHeight="1" x14ac:dyDescent="0.25">
      <c r="B3" s="922" t="s">
        <v>232</v>
      </c>
      <c r="C3" s="922"/>
      <c r="D3" s="922"/>
      <c r="E3" s="922"/>
      <c r="F3" s="922"/>
      <c r="G3" s="922"/>
      <c r="H3" s="922"/>
      <c r="I3" s="922"/>
      <c r="J3" s="922"/>
      <c r="K3" s="922"/>
      <c r="L3" s="922"/>
      <c r="M3" s="922"/>
      <c r="N3" s="922"/>
      <c r="O3" s="922"/>
      <c r="P3" s="922"/>
      <c r="Q3" s="922"/>
      <c r="R3" s="922"/>
      <c r="S3" s="922"/>
      <c r="T3" s="922"/>
    </row>
    <row r="4" spans="2:20" ht="18" customHeight="1" x14ac:dyDescent="0.25">
      <c r="B4" s="923" t="s">
        <v>1777</v>
      </c>
      <c r="C4" s="923"/>
      <c r="D4" s="923"/>
      <c r="E4" s="923"/>
      <c r="F4" s="923"/>
      <c r="G4" s="923"/>
      <c r="H4" s="923"/>
      <c r="I4" s="923"/>
      <c r="J4" s="923"/>
      <c r="K4" s="923"/>
      <c r="L4" s="923"/>
      <c r="M4" s="923"/>
      <c r="N4" s="923"/>
      <c r="O4" s="923"/>
      <c r="P4" s="923"/>
      <c r="Q4" s="923"/>
      <c r="R4" s="923"/>
      <c r="S4" s="923"/>
      <c r="T4" s="923"/>
    </row>
    <row r="5" spans="2:20" ht="18" customHeight="1" x14ac:dyDescent="0.25">
      <c r="B5" s="918" t="s">
        <v>343</v>
      </c>
      <c r="C5" s="918"/>
      <c r="D5" s="918"/>
      <c r="E5" s="918"/>
      <c r="F5" s="918"/>
      <c r="G5" s="918"/>
      <c r="H5" s="918"/>
      <c r="I5" s="918"/>
      <c r="J5" s="918"/>
      <c r="K5" s="918"/>
      <c r="L5" s="918"/>
      <c r="M5" s="918"/>
      <c r="N5" s="918"/>
      <c r="O5" s="918"/>
      <c r="P5" s="918"/>
      <c r="Q5" s="918"/>
      <c r="R5" s="918"/>
      <c r="S5" s="918"/>
      <c r="T5" s="918"/>
    </row>
    <row r="6" spans="2:20" ht="18" customHeight="1" x14ac:dyDescent="0.25">
      <c r="B6" s="918" t="s">
        <v>344</v>
      </c>
      <c r="C6" s="918"/>
      <c r="D6" s="918"/>
      <c r="E6" s="918"/>
      <c r="F6" s="918"/>
      <c r="G6" s="918"/>
      <c r="H6" s="918"/>
      <c r="I6" s="918"/>
      <c r="J6" s="918"/>
      <c r="K6" s="918"/>
      <c r="L6" s="918"/>
      <c r="M6" s="918"/>
      <c r="N6" s="918"/>
      <c r="O6" s="918"/>
      <c r="P6" s="918"/>
      <c r="Q6" s="918"/>
      <c r="R6" s="918"/>
      <c r="S6" s="918"/>
      <c r="T6" s="918"/>
    </row>
    <row r="7" spans="2:20" ht="60" customHeight="1" x14ac:dyDescent="0.25">
      <c r="B7" s="928" t="s">
        <v>346</v>
      </c>
      <c r="C7" s="928" t="s">
        <v>347</v>
      </c>
      <c r="D7" s="928" t="s">
        <v>1803</v>
      </c>
      <c r="E7" s="928" t="s">
        <v>1784</v>
      </c>
      <c r="F7" s="928" t="s">
        <v>1804</v>
      </c>
      <c r="G7" s="928" t="s">
        <v>1784</v>
      </c>
      <c r="H7" s="928" t="s">
        <v>1805</v>
      </c>
      <c r="I7" s="928" t="s">
        <v>1784</v>
      </c>
      <c r="J7" s="928" t="s">
        <v>1806</v>
      </c>
      <c r="K7" s="928" t="s">
        <v>1784</v>
      </c>
      <c r="L7" s="928" t="s">
        <v>1807</v>
      </c>
      <c r="M7" s="928" t="s">
        <v>1784</v>
      </c>
      <c r="N7" s="928" t="s">
        <v>1808</v>
      </c>
      <c r="O7" s="923" t="s">
        <v>1809</v>
      </c>
      <c r="P7" s="923"/>
      <c r="Q7" s="923" t="s">
        <v>1810</v>
      </c>
      <c r="R7" s="923"/>
      <c r="S7" s="929" t="s">
        <v>352</v>
      </c>
      <c r="T7" s="928" t="s">
        <v>353</v>
      </c>
    </row>
    <row r="8" spans="2:20" ht="138" customHeight="1" x14ac:dyDescent="0.25">
      <c r="B8" s="928"/>
      <c r="C8" s="928"/>
      <c r="D8" s="928"/>
      <c r="E8" s="928"/>
      <c r="F8" s="928"/>
      <c r="G8" s="928"/>
      <c r="H8" s="928"/>
      <c r="I8" s="928"/>
      <c r="J8" s="928"/>
      <c r="K8" s="928"/>
      <c r="L8" s="928"/>
      <c r="M8" s="928"/>
      <c r="N8" s="928"/>
      <c r="O8" s="154"/>
      <c r="P8" s="306" t="s">
        <v>1809</v>
      </c>
      <c r="Q8" s="341" t="s">
        <v>162</v>
      </c>
      <c r="R8" s="342" t="s">
        <v>1811</v>
      </c>
      <c r="S8" s="929"/>
      <c r="T8" s="928"/>
    </row>
    <row r="9" spans="2:20" ht="18" customHeight="1" x14ac:dyDescent="0.25">
      <c r="B9" s="309">
        <v>1</v>
      </c>
      <c r="C9" s="310" t="s">
        <v>241</v>
      </c>
      <c r="D9" s="330"/>
      <c r="E9" s="307"/>
      <c r="F9" s="330"/>
      <c r="G9" s="307"/>
      <c r="H9" s="330"/>
      <c r="I9" s="307"/>
      <c r="J9" s="330"/>
      <c r="K9" s="307"/>
      <c r="L9" s="330"/>
      <c r="M9" s="307"/>
      <c r="N9" s="330"/>
      <c r="O9" s="154"/>
      <c r="P9" s="307">
        <v>500000</v>
      </c>
      <c r="Q9" s="345">
        <v>1</v>
      </c>
      <c r="R9" s="204">
        <v>1350000</v>
      </c>
      <c r="S9" s="345">
        <v>0</v>
      </c>
      <c r="T9" s="307">
        <v>0</v>
      </c>
    </row>
    <row r="10" spans="2:20" ht="18" customHeight="1" x14ac:dyDescent="0.25">
      <c r="B10" s="309">
        <v>2</v>
      </c>
      <c r="C10" s="310" t="s">
        <v>242</v>
      </c>
      <c r="D10" s="330"/>
      <c r="E10" s="307"/>
      <c r="F10" s="330"/>
      <c r="G10" s="307"/>
      <c r="H10" s="330"/>
      <c r="I10" s="307"/>
      <c r="J10" s="330"/>
      <c r="K10" s="307"/>
      <c r="L10" s="330"/>
      <c r="M10" s="307"/>
      <c r="N10" s="330"/>
      <c r="O10" s="154"/>
      <c r="P10" s="307">
        <v>500000</v>
      </c>
      <c r="Q10" s="345">
        <v>1</v>
      </c>
      <c r="R10" s="204">
        <v>3000000</v>
      </c>
      <c r="S10" s="345">
        <v>0</v>
      </c>
      <c r="T10" s="307">
        <v>0</v>
      </c>
    </row>
    <row r="11" spans="2:20" ht="18" customHeight="1" x14ac:dyDescent="0.25">
      <c r="B11" s="309">
        <v>3</v>
      </c>
      <c r="C11" s="310" t="s">
        <v>1786</v>
      </c>
      <c r="D11" s="330"/>
      <c r="E11" s="307"/>
      <c r="F11" s="330"/>
      <c r="G11" s="307"/>
      <c r="H11" s="330"/>
      <c r="I11" s="307"/>
      <c r="J11" s="330"/>
      <c r="K11" s="307"/>
      <c r="L11" s="330"/>
      <c r="M11" s="307"/>
      <c r="N11" s="330">
        <v>1</v>
      </c>
      <c r="O11" s="154"/>
      <c r="P11" s="307"/>
      <c r="Q11" s="345"/>
      <c r="R11" s="204"/>
      <c r="S11" s="345"/>
      <c r="T11" s="307"/>
    </row>
    <row r="12" spans="2:20" ht="18" customHeight="1" x14ac:dyDescent="0.25">
      <c r="B12" s="309">
        <v>4</v>
      </c>
      <c r="C12" s="310" t="s">
        <v>1787</v>
      </c>
      <c r="D12" s="330"/>
      <c r="E12" s="307"/>
      <c r="F12" s="330"/>
      <c r="G12" s="307"/>
      <c r="H12" s="330"/>
      <c r="I12" s="307"/>
      <c r="J12" s="330"/>
      <c r="K12" s="307"/>
      <c r="L12" s="330"/>
      <c r="M12" s="307"/>
      <c r="N12" s="330"/>
      <c r="O12" s="154"/>
      <c r="P12" s="307"/>
      <c r="Q12" s="345"/>
      <c r="R12" s="204"/>
      <c r="S12" s="345"/>
      <c r="T12" s="307"/>
    </row>
    <row r="13" spans="2:20" ht="18" customHeight="1" x14ac:dyDescent="0.25">
      <c r="B13" s="309">
        <v>5</v>
      </c>
      <c r="C13" s="310" t="s">
        <v>244</v>
      </c>
      <c r="D13" s="330"/>
      <c r="E13" s="307"/>
      <c r="F13" s="330"/>
      <c r="G13" s="307"/>
      <c r="H13" s="330"/>
      <c r="I13" s="307"/>
      <c r="J13" s="330"/>
      <c r="K13" s="307"/>
      <c r="L13" s="330"/>
      <c r="M13" s="307"/>
      <c r="N13" s="330"/>
      <c r="O13" s="154"/>
      <c r="P13" s="307">
        <v>500000</v>
      </c>
      <c r="Q13" s="345">
        <v>1</v>
      </c>
      <c r="R13" s="204">
        <v>1350000</v>
      </c>
      <c r="S13" s="345">
        <v>0</v>
      </c>
      <c r="T13" s="307">
        <v>0</v>
      </c>
    </row>
    <row r="14" spans="2:20" ht="18" customHeight="1" x14ac:dyDescent="0.25">
      <c r="B14" s="309">
        <v>6</v>
      </c>
      <c r="C14" s="310" t="s">
        <v>316</v>
      </c>
      <c r="D14" s="330"/>
      <c r="E14" s="307"/>
      <c r="F14" s="330"/>
      <c r="G14" s="307"/>
      <c r="H14" s="330"/>
      <c r="I14" s="307"/>
      <c r="J14" s="330"/>
      <c r="K14" s="307"/>
      <c r="L14" s="330"/>
      <c r="M14" s="307"/>
      <c r="N14" s="330"/>
      <c r="O14" s="154"/>
      <c r="P14" s="307">
        <v>500000</v>
      </c>
      <c r="Q14" s="345">
        <v>1</v>
      </c>
      <c r="R14" s="204">
        <v>1350000</v>
      </c>
      <c r="S14" s="345">
        <v>0</v>
      </c>
      <c r="T14" s="307">
        <v>0</v>
      </c>
    </row>
    <row r="15" spans="2:20" ht="18" customHeight="1" x14ac:dyDescent="0.25">
      <c r="B15" s="309">
        <v>7</v>
      </c>
      <c r="C15" s="310" t="s">
        <v>246</v>
      </c>
      <c r="D15" s="330"/>
      <c r="E15" s="307"/>
      <c r="F15" s="330"/>
      <c r="G15" s="307"/>
      <c r="H15" s="330"/>
      <c r="I15" s="307"/>
      <c r="J15" s="330"/>
      <c r="K15" s="307"/>
      <c r="L15" s="330"/>
      <c r="M15" s="307"/>
      <c r="N15" s="330"/>
      <c r="O15" s="154"/>
      <c r="P15" s="307">
        <v>500000</v>
      </c>
      <c r="Q15" s="345">
        <v>1</v>
      </c>
      <c r="R15" s="204">
        <v>1350000</v>
      </c>
      <c r="S15" s="345">
        <v>0</v>
      </c>
      <c r="T15" s="307">
        <v>0</v>
      </c>
    </row>
    <row r="16" spans="2:20" ht="18" customHeight="1" x14ac:dyDescent="0.25">
      <c r="B16" s="309">
        <v>8</v>
      </c>
      <c r="C16" s="310" t="s">
        <v>247</v>
      </c>
      <c r="D16" s="330"/>
      <c r="E16" s="307"/>
      <c r="F16" s="330">
        <v>1</v>
      </c>
      <c r="G16" s="307">
        <v>180000</v>
      </c>
      <c r="H16" s="330"/>
      <c r="I16" s="307"/>
      <c r="J16" s="330"/>
      <c r="K16" s="307"/>
      <c r="L16" s="330"/>
      <c r="M16" s="307"/>
      <c r="N16" s="330"/>
      <c r="O16" s="154"/>
      <c r="P16" s="307">
        <v>500000</v>
      </c>
      <c r="Q16" s="345">
        <v>1</v>
      </c>
      <c r="R16" s="204">
        <v>1350000</v>
      </c>
      <c r="S16" s="345">
        <v>0</v>
      </c>
      <c r="T16" s="307">
        <v>0</v>
      </c>
    </row>
    <row r="17" spans="2:20" ht="18" customHeight="1" x14ac:dyDescent="0.25">
      <c r="B17" s="309">
        <v>9</v>
      </c>
      <c r="C17" s="310" t="s">
        <v>249</v>
      </c>
      <c r="D17" s="330"/>
      <c r="E17" s="307"/>
      <c r="F17" s="330"/>
      <c r="G17" s="307"/>
      <c r="H17" s="330"/>
      <c r="I17" s="307"/>
      <c r="J17" s="330"/>
      <c r="K17" s="307"/>
      <c r="L17" s="330"/>
      <c r="M17" s="307"/>
      <c r="N17" s="330">
        <v>1</v>
      </c>
      <c r="O17" s="154">
        <v>130000</v>
      </c>
      <c r="P17" s="307">
        <v>500000</v>
      </c>
      <c r="Q17" s="345">
        <v>1</v>
      </c>
      <c r="R17" s="204">
        <v>1350000</v>
      </c>
      <c r="S17" s="345">
        <v>0</v>
      </c>
      <c r="T17" s="307">
        <v>0</v>
      </c>
    </row>
    <row r="18" spans="2:20" ht="18" customHeight="1" x14ac:dyDescent="0.25">
      <c r="B18" s="309">
        <v>10</v>
      </c>
      <c r="C18" s="310" t="s">
        <v>250</v>
      </c>
      <c r="D18" s="330"/>
      <c r="E18" s="307"/>
      <c r="F18" s="330"/>
      <c r="G18" s="307"/>
      <c r="H18" s="330"/>
      <c r="I18" s="307"/>
      <c r="J18" s="330"/>
      <c r="K18" s="307"/>
      <c r="L18" s="330"/>
      <c r="M18" s="307"/>
      <c r="N18" s="330">
        <v>1</v>
      </c>
      <c r="O18" s="154">
        <v>130000</v>
      </c>
      <c r="P18" s="307">
        <v>500000</v>
      </c>
      <c r="Q18" s="345">
        <v>1</v>
      </c>
      <c r="R18" s="204">
        <v>1350000</v>
      </c>
      <c r="S18" s="345">
        <v>0</v>
      </c>
      <c r="T18" s="307">
        <v>0</v>
      </c>
    </row>
    <row r="19" spans="2:20" ht="18" customHeight="1" x14ac:dyDescent="0.25">
      <c r="B19" s="309">
        <v>11</v>
      </c>
      <c r="C19" s="310" t="s">
        <v>251</v>
      </c>
      <c r="D19" s="330"/>
      <c r="E19" s="307"/>
      <c r="F19" s="330">
        <v>1</v>
      </c>
      <c r="G19" s="307">
        <v>180000</v>
      </c>
      <c r="H19" s="330"/>
      <c r="I19" s="307"/>
      <c r="J19" s="330"/>
      <c r="K19" s="307"/>
      <c r="L19" s="330"/>
      <c r="M19" s="307"/>
      <c r="N19" s="330">
        <v>1</v>
      </c>
      <c r="O19" s="154">
        <v>130000</v>
      </c>
      <c r="P19" s="307">
        <v>500000</v>
      </c>
      <c r="Q19" s="345">
        <v>1</v>
      </c>
      <c r="R19" s="204">
        <v>1350000</v>
      </c>
      <c r="S19" s="345">
        <v>0</v>
      </c>
      <c r="T19" s="307">
        <v>0</v>
      </c>
    </row>
    <row r="20" spans="2:20" ht="18" customHeight="1" x14ac:dyDescent="0.25">
      <c r="B20" s="309">
        <v>12</v>
      </c>
      <c r="C20" s="310" t="s">
        <v>252</v>
      </c>
      <c r="D20" s="330"/>
      <c r="E20" s="307"/>
      <c r="F20" s="330">
        <v>1</v>
      </c>
      <c r="G20" s="307">
        <v>180000</v>
      </c>
      <c r="H20" s="330"/>
      <c r="I20" s="307"/>
      <c r="J20" s="330"/>
      <c r="K20" s="307"/>
      <c r="L20" s="330"/>
      <c r="M20" s="307"/>
      <c r="N20" s="330">
        <v>1</v>
      </c>
      <c r="O20" s="154">
        <v>130000</v>
      </c>
      <c r="P20" s="307">
        <v>500000</v>
      </c>
      <c r="Q20" s="345">
        <v>1</v>
      </c>
      <c r="R20" s="204">
        <v>1350000</v>
      </c>
      <c r="S20" s="345">
        <v>0</v>
      </c>
      <c r="T20" s="307">
        <v>0</v>
      </c>
    </row>
    <row r="21" spans="2:20" ht="18" customHeight="1" x14ac:dyDescent="0.25">
      <c r="B21" s="309">
        <v>13</v>
      </c>
      <c r="C21" s="310" t="s">
        <v>354</v>
      </c>
      <c r="D21" s="330"/>
      <c r="E21" s="307"/>
      <c r="F21" s="330">
        <v>1</v>
      </c>
      <c r="G21" s="307">
        <v>180000</v>
      </c>
      <c r="H21" s="330"/>
      <c r="I21" s="307"/>
      <c r="J21" s="330"/>
      <c r="K21" s="307"/>
      <c r="L21" s="330"/>
      <c r="M21" s="307"/>
      <c r="N21" s="330"/>
      <c r="O21" s="154"/>
      <c r="P21" s="307">
        <v>500000</v>
      </c>
      <c r="Q21" s="345">
        <v>1</v>
      </c>
      <c r="R21" s="204">
        <v>1350000</v>
      </c>
      <c r="S21" s="345">
        <v>0</v>
      </c>
      <c r="T21" s="307">
        <v>0</v>
      </c>
    </row>
    <row r="22" spans="2:20" ht="18" customHeight="1" x14ac:dyDescent="0.25">
      <c r="B22" s="309">
        <v>14</v>
      </c>
      <c r="C22" s="310" t="s">
        <v>355</v>
      </c>
      <c r="D22" s="330"/>
      <c r="E22" s="307"/>
      <c r="F22" s="330">
        <v>1</v>
      </c>
      <c r="G22" s="307">
        <v>180000</v>
      </c>
      <c r="H22" s="330"/>
      <c r="I22" s="307"/>
      <c r="J22" s="330"/>
      <c r="K22" s="307"/>
      <c r="L22" s="330"/>
      <c r="M22" s="307"/>
      <c r="N22" s="330">
        <v>1</v>
      </c>
      <c r="O22" s="154">
        <v>130000</v>
      </c>
      <c r="P22" s="307">
        <v>500000</v>
      </c>
      <c r="Q22" s="345">
        <v>1</v>
      </c>
      <c r="R22" s="204">
        <v>1350000</v>
      </c>
      <c r="S22" s="345">
        <v>0</v>
      </c>
      <c r="T22" s="307">
        <v>0</v>
      </c>
    </row>
    <row r="23" spans="2:20" ht="18" customHeight="1" x14ac:dyDescent="0.25">
      <c r="B23" s="309">
        <v>15</v>
      </c>
      <c r="C23" s="310" t="s">
        <v>255</v>
      </c>
      <c r="D23" s="330"/>
      <c r="E23" s="307"/>
      <c r="F23" s="330"/>
      <c r="G23" s="307"/>
      <c r="H23" s="330"/>
      <c r="I23" s="307"/>
      <c r="J23" s="330"/>
      <c r="K23" s="307"/>
      <c r="L23" s="330"/>
      <c r="M23" s="307"/>
      <c r="N23" s="330"/>
      <c r="O23" s="154"/>
      <c r="P23" s="307">
        <v>500000</v>
      </c>
      <c r="Q23" s="345">
        <v>1</v>
      </c>
      <c r="R23" s="204">
        <v>1350000</v>
      </c>
      <c r="S23" s="345">
        <v>0</v>
      </c>
      <c r="T23" s="307">
        <v>0</v>
      </c>
    </row>
    <row r="24" spans="2:20" ht="18" customHeight="1" x14ac:dyDescent="0.25">
      <c r="B24" s="309">
        <v>16</v>
      </c>
      <c r="C24" s="310" t="s">
        <v>256</v>
      </c>
      <c r="D24" s="330"/>
      <c r="E24" s="307"/>
      <c r="F24" s="330"/>
      <c r="G24" s="307"/>
      <c r="H24" s="330"/>
      <c r="I24" s="307"/>
      <c r="J24" s="330"/>
      <c r="K24" s="307"/>
      <c r="L24" s="330">
        <v>1</v>
      </c>
      <c r="M24" s="307">
        <v>60000</v>
      </c>
      <c r="N24" s="330"/>
      <c r="O24" s="154"/>
      <c r="P24" s="307">
        <v>500000</v>
      </c>
      <c r="Q24" s="345">
        <v>1</v>
      </c>
      <c r="R24" s="204">
        <v>1350000</v>
      </c>
      <c r="S24" s="345">
        <v>0</v>
      </c>
      <c r="T24" s="307">
        <v>0</v>
      </c>
    </row>
    <row r="25" spans="2:20" ht="18" customHeight="1" x14ac:dyDescent="0.25">
      <c r="B25" s="309">
        <v>17</v>
      </c>
      <c r="C25" s="310" t="s">
        <v>257</v>
      </c>
      <c r="D25" s="330"/>
      <c r="E25" s="307"/>
      <c r="F25" s="330"/>
      <c r="G25" s="307"/>
      <c r="H25" s="330"/>
      <c r="I25" s="307"/>
      <c r="J25" s="330"/>
      <c r="K25" s="307"/>
      <c r="L25" s="330"/>
      <c r="M25" s="307"/>
      <c r="N25" s="330">
        <v>1</v>
      </c>
      <c r="O25" s="154">
        <v>130000</v>
      </c>
      <c r="P25" s="307">
        <v>500000</v>
      </c>
      <c r="Q25" s="345">
        <v>1</v>
      </c>
      <c r="R25" s="204">
        <v>1350000</v>
      </c>
      <c r="S25" s="345">
        <v>0</v>
      </c>
      <c r="T25" s="307">
        <v>0</v>
      </c>
    </row>
    <row r="26" spans="2:20" ht="18" customHeight="1" x14ac:dyDescent="0.25">
      <c r="B26" s="309">
        <v>18</v>
      </c>
      <c r="C26" s="310" t="s">
        <v>356</v>
      </c>
      <c r="D26" s="330">
        <v>1</v>
      </c>
      <c r="E26" s="307">
        <v>120000</v>
      </c>
      <c r="F26" s="330"/>
      <c r="G26" s="307"/>
      <c r="H26" s="330"/>
      <c r="I26" s="307"/>
      <c r="J26" s="330"/>
      <c r="K26" s="307"/>
      <c r="L26" s="330"/>
      <c r="M26" s="307"/>
      <c r="N26" s="330">
        <v>1</v>
      </c>
      <c r="O26" s="154">
        <v>130000</v>
      </c>
      <c r="P26" s="307">
        <v>500000</v>
      </c>
      <c r="Q26" s="345">
        <v>1</v>
      </c>
      <c r="R26" s="204">
        <v>1350000</v>
      </c>
      <c r="S26" s="345">
        <v>0</v>
      </c>
      <c r="T26" s="307">
        <v>0</v>
      </c>
    </row>
    <row r="27" spans="2:20" ht="18" customHeight="1" x14ac:dyDescent="0.25">
      <c r="B27" s="309">
        <v>19</v>
      </c>
      <c r="C27" s="310" t="s">
        <v>357</v>
      </c>
      <c r="D27" s="330">
        <v>1</v>
      </c>
      <c r="E27" s="307">
        <v>120000</v>
      </c>
      <c r="F27" s="330"/>
      <c r="G27" s="307"/>
      <c r="H27" s="330">
        <v>1</v>
      </c>
      <c r="I27" s="307">
        <v>70000</v>
      </c>
      <c r="J27" s="330"/>
      <c r="K27" s="307"/>
      <c r="L27" s="330">
        <v>1</v>
      </c>
      <c r="M27" s="307">
        <v>60000</v>
      </c>
      <c r="N27" s="330"/>
      <c r="O27" s="154"/>
      <c r="P27" s="307">
        <v>500000</v>
      </c>
      <c r="Q27" s="345">
        <v>1</v>
      </c>
      <c r="R27" s="204">
        <v>3000000</v>
      </c>
      <c r="S27" s="345">
        <v>0</v>
      </c>
      <c r="T27" s="307">
        <v>1500000</v>
      </c>
    </row>
    <row r="28" spans="2:20" ht="18" customHeight="1" x14ac:dyDescent="0.25">
      <c r="B28" s="309">
        <v>20</v>
      </c>
      <c r="C28" s="310" t="s">
        <v>570</v>
      </c>
      <c r="D28" s="330">
        <v>1</v>
      </c>
      <c r="E28" s="307">
        <v>120000</v>
      </c>
      <c r="F28" s="330">
        <v>1</v>
      </c>
      <c r="G28" s="307">
        <v>180000</v>
      </c>
      <c r="H28" s="330"/>
      <c r="I28" s="307"/>
      <c r="J28" s="330"/>
      <c r="K28" s="307"/>
      <c r="L28" s="330">
        <v>1</v>
      </c>
      <c r="M28" s="307">
        <v>60000</v>
      </c>
      <c r="N28" s="330"/>
      <c r="O28" s="154"/>
      <c r="P28" s="307">
        <v>500000</v>
      </c>
      <c r="Q28" s="345">
        <v>1</v>
      </c>
      <c r="R28" s="204">
        <v>1350000</v>
      </c>
      <c r="S28" s="345">
        <v>0</v>
      </c>
      <c r="T28" s="307">
        <v>0</v>
      </c>
    </row>
    <row r="29" spans="2:20" ht="18" customHeight="1" x14ac:dyDescent="0.25">
      <c r="B29" s="504"/>
      <c r="C29" s="313"/>
      <c r="D29" s="331"/>
      <c r="E29" s="314"/>
      <c r="F29" s="331"/>
      <c r="G29" s="314"/>
      <c r="H29" s="331"/>
      <c r="I29" s="314"/>
      <c r="J29" s="331"/>
      <c r="K29" s="314"/>
      <c r="L29" s="331"/>
      <c r="M29" s="314"/>
      <c r="N29" s="331"/>
      <c r="O29" s="179"/>
      <c r="P29" s="314"/>
      <c r="Q29" s="346"/>
      <c r="R29" s="343"/>
      <c r="S29" s="346"/>
      <c r="T29" s="314"/>
    </row>
    <row r="30" spans="2:20" ht="18" customHeight="1" x14ac:dyDescent="0.25">
      <c r="B30" s="337"/>
      <c r="C30" s="535"/>
      <c r="D30" s="536"/>
      <c r="E30" s="537"/>
      <c r="F30" s="536"/>
      <c r="G30" s="537"/>
      <c r="H30" s="536"/>
      <c r="I30" s="537"/>
      <c r="J30" s="536"/>
      <c r="K30" s="537"/>
      <c r="L30" s="536"/>
      <c r="M30" s="537"/>
      <c r="N30" s="536"/>
      <c r="O30" s="538"/>
      <c r="P30" s="537"/>
      <c r="Q30" s="457"/>
      <c r="R30" s="403"/>
      <c r="S30" s="457"/>
      <c r="T30" s="537"/>
    </row>
    <row r="31" spans="2:20" ht="18" customHeight="1" x14ac:dyDescent="0.25">
      <c r="B31" s="337"/>
      <c r="C31" s="535"/>
      <c r="D31" s="536"/>
      <c r="E31" s="537"/>
      <c r="F31" s="536"/>
      <c r="G31" s="537"/>
      <c r="H31" s="536"/>
      <c r="I31" s="537"/>
      <c r="J31" s="536"/>
      <c r="K31" s="537"/>
      <c r="L31" s="536"/>
      <c r="M31" s="537"/>
      <c r="N31" s="536"/>
      <c r="O31" s="538"/>
      <c r="P31" s="537"/>
      <c r="Q31" s="457"/>
      <c r="R31" s="403"/>
      <c r="S31" s="457"/>
      <c r="T31" s="537"/>
    </row>
    <row r="32" spans="2:20" ht="18" customHeight="1" x14ac:dyDescent="0.25">
      <c r="B32" s="337"/>
      <c r="C32" s="535"/>
      <c r="D32" s="536"/>
      <c r="E32" s="537"/>
      <c r="F32" s="536"/>
      <c r="G32" s="537"/>
      <c r="H32" s="536"/>
      <c r="I32" s="537"/>
      <c r="J32" s="536"/>
      <c r="K32" s="537"/>
      <c r="L32" s="536"/>
      <c r="M32" s="537"/>
      <c r="N32" s="536"/>
      <c r="O32" s="538"/>
      <c r="P32" s="537"/>
      <c r="Q32" s="457"/>
      <c r="R32" s="403"/>
      <c r="S32" s="457"/>
      <c r="T32" s="537"/>
    </row>
    <row r="33" spans="2:20" ht="18" customHeight="1" x14ac:dyDescent="0.25">
      <c r="B33" s="309">
        <v>21</v>
      </c>
      <c r="C33" s="310" t="s">
        <v>261</v>
      </c>
      <c r="D33" s="330">
        <v>1</v>
      </c>
      <c r="E33" s="307">
        <v>120000</v>
      </c>
      <c r="F33" s="330">
        <v>1</v>
      </c>
      <c r="G33" s="307">
        <v>180000</v>
      </c>
      <c r="H33" s="330"/>
      <c r="I33" s="307"/>
      <c r="J33" s="330"/>
      <c r="K33" s="307"/>
      <c r="L33" s="330">
        <v>1</v>
      </c>
      <c r="M33" s="307">
        <v>60000</v>
      </c>
      <c r="N33" s="330"/>
      <c r="O33" s="154"/>
      <c r="P33" s="307">
        <v>500000</v>
      </c>
      <c r="Q33" s="345">
        <v>1</v>
      </c>
      <c r="R33" s="204">
        <v>1350000</v>
      </c>
      <c r="S33" s="345">
        <v>0</v>
      </c>
      <c r="T33" s="307">
        <v>0</v>
      </c>
    </row>
    <row r="34" spans="2:20" ht="18" customHeight="1" x14ac:dyDescent="0.25">
      <c r="B34" s="309">
        <v>22</v>
      </c>
      <c r="C34" s="310" t="s">
        <v>262</v>
      </c>
      <c r="D34" s="330">
        <v>1</v>
      </c>
      <c r="E34" s="307">
        <v>120000</v>
      </c>
      <c r="F34" s="330">
        <v>1</v>
      </c>
      <c r="G34" s="307">
        <v>180000</v>
      </c>
      <c r="H34" s="330"/>
      <c r="I34" s="307"/>
      <c r="J34" s="330"/>
      <c r="K34" s="307"/>
      <c r="L34" s="330"/>
      <c r="M34" s="307"/>
      <c r="N34" s="330">
        <v>1</v>
      </c>
      <c r="O34" s="154">
        <v>130000</v>
      </c>
      <c r="P34" s="307">
        <v>500000</v>
      </c>
      <c r="Q34" s="345">
        <v>1</v>
      </c>
      <c r="R34" s="204">
        <v>1350000</v>
      </c>
      <c r="S34" s="345">
        <v>0</v>
      </c>
      <c r="T34" s="307">
        <v>0</v>
      </c>
    </row>
    <row r="35" spans="2:20" ht="18" customHeight="1" x14ac:dyDescent="0.25">
      <c r="B35" s="309">
        <v>23</v>
      </c>
      <c r="C35" s="310" t="s">
        <v>263</v>
      </c>
      <c r="D35" s="330">
        <v>1</v>
      </c>
      <c r="E35" s="307">
        <v>120000</v>
      </c>
      <c r="F35" s="330">
        <v>1</v>
      </c>
      <c r="G35" s="307">
        <v>180000</v>
      </c>
      <c r="H35" s="330"/>
      <c r="I35" s="307"/>
      <c r="J35" s="330"/>
      <c r="K35" s="307"/>
      <c r="L35" s="330"/>
      <c r="M35" s="307"/>
      <c r="N35" s="330"/>
      <c r="O35" s="154"/>
      <c r="P35" s="307">
        <v>500000</v>
      </c>
      <c r="Q35" s="345">
        <v>1</v>
      </c>
      <c r="R35" s="204">
        <v>1350000</v>
      </c>
      <c r="S35" s="345">
        <v>0</v>
      </c>
      <c r="T35" s="307">
        <v>0</v>
      </c>
    </row>
    <row r="36" spans="2:20" ht="18" customHeight="1" x14ac:dyDescent="0.25">
      <c r="B36" s="309">
        <v>24</v>
      </c>
      <c r="C36" s="310" t="s">
        <v>264</v>
      </c>
      <c r="D36" s="330">
        <v>1</v>
      </c>
      <c r="E36" s="307">
        <v>120000</v>
      </c>
      <c r="F36" s="330"/>
      <c r="G36" s="307"/>
      <c r="H36" s="330"/>
      <c r="I36" s="307"/>
      <c r="J36" s="330"/>
      <c r="K36" s="307"/>
      <c r="L36" s="330"/>
      <c r="M36" s="307"/>
      <c r="N36" s="330">
        <v>1</v>
      </c>
      <c r="O36" s="154">
        <v>130000</v>
      </c>
      <c r="P36" s="307">
        <v>500000</v>
      </c>
      <c r="Q36" s="345">
        <v>1</v>
      </c>
      <c r="R36" s="204">
        <v>1350000</v>
      </c>
      <c r="S36" s="345">
        <v>0</v>
      </c>
      <c r="T36" s="307">
        <v>0</v>
      </c>
    </row>
    <row r="37" spans="2:20" ht="18" customHeight="1" x14ac:dyDescent="0.25">
      <c r="B37" s="309">
        <v>25</v>
      </c>
      <c r="C37" s="310" t="s">
        <v>265</v>
      </c>
      <c r="D37" s="330">
        <v>1</v>
      </c>
      <c r="E37" s="307">
        <v>120000</v>
      </c>
      <c r="F37" s="330"/>
      <c r="G37" s="307"/>
      <c r="H37" s="330"/>
      <c r="I37" s="307"/>
      <c r="J37" s="330"/>
      <c r="K37" s="307"/>
      <c r="L37" s="330"/>
      <c r="M37" s="307"/>
      <c r="N37" s="330">
        <v>1</v>
      </c>
      <c r="O37" s="154">
        <v>130000</v>
      </c>
      <c r="P37" s="307">
        <v>500000</v>
      </c>
      <c r="Q37" s="345">
        <v>1</v>
      </c>
      <c r="R37" s="204">
        <v>3000000</v>
      </c>
      <c r="S37" s="345">
        <v>0</v>
      </c>
      <c r="T37" s="307">
        <v>1500000</v>
      </c>
    </row>
    <row r="38" spans="2:20" ht="18" customHeight="1" x14ac:dyDescent="0.25">
      <c r="B38" s="309">
        <v>26</v>
      </c>
      <c r="C38" s="310" t="s">
        <v>266</v>
      </c>
      <c r="D38" s="330">
        <v>1</v>
      </c>
      <c r="E38" s="307">
        <v>120000</v>
      </c>
      <c r="F38" s="330"/>
      <c r="G38" s="307"/>
      <c r="H38" s="330"/>
      <c r="I38" s="307"/>
      <c r="J38" s="330"/>
      <c r="K38" s="307"/>
      <c r="L38" s="330"/>
      <c r="M38" s="307"/>
      <c r="N38" s="330">
        <v>1</v>
      </c>
      <c r="O38" s="154">
        <v>130000</v>
      </c>
      <c r="P38" s="307">
        <v>500000</v>
      </c>
      <c r="Q38" s="345">
        <v>1</v>
      </c>
      <c r="R38" s="204">
        <v>1350000</v>
      </c>
      <c r="S38" s="345">
        <v>0</v>
      </c>
      <c r="T38" s="307">
        <v>0</v>
      </c>
    </row>
    <row r="39" spans="2:20" ht="18" customHeight="1" x14ac:dyDescent="0.25">
      <c r="B39" s="309">
        <v>27</v>
      </c>
      <c r="C39" s="310" t="s">
        <v>267</v>
      </c>
      <c r="D39" s="330"/>
      <c r="E39" s="307"/>
      <c r="F39" s="330"/>
      <c r="G39" s="307"/>
      <c r="H39" s="330">
        <v>1</v>
      </c>
      <c r="I39" s="307">
        <v>70000</v>
      </c>
      <c r="J39" s="330"/>
      <c r="K39" s="307"/>
      <c r="L39" s="330"/>
      <c r="M39" s="307"/>
      <c r="N39" s="330">
        <v>1</v>
      </c>
      <c r="O39" s="154">
        <v>130000</v>
      </c>
      <c r="P39" s="307">
        <v>500000</v>
      </c>
      <c r="Q39" s="345">
        <v>1</v>
      </c>
      <c r="R39" s="204">
        <v>1350000</v>
      </c>
      <c r="S39" s="345">
        <v>0</v>
      </c>
      <c r="T39" s="307">
        <v>0</v>
      </c>
    </row>
    <row r="40" spans="2:20" ht="18" customHeight="1" x14ac:dyDescent="0.25">
      <c r="B40" s="309">
        <v>28</v>
      </c>
      <c r="C40" s="310" t="s">
        <v>268</v>
      </c>
      <c r="D40" s="330"/>
      <c r="E40" s="307"/>
      <c r="F40" s="330"/>
      <c r="G40" s="307"/>
      <c r="H40" s="330">
        <v>1</v>
      </c>
      <c r="I40" s="307">
        <v>70000</v>
      </c>
      <c r="J40" s="330"/>
      <c r="K40" s="307"/>
      <c r="L40" s="330"/>
      <c r="M40" s="307"/>
      <c r="N40" s="330"/>
      <c r="O40" s="154"/>
      <c r="P40" s="307">
        <v>500000</v>
      </c>
      <c r="Q40" s="345">
        <v>1</v>
      </c>
      <c r="R40" s="204">
        <v>1350000</v>
      </c>
      <c r="S40" s="345">
        <v>0</v>
      </c>
      <c r="T40" s="307">
        <v>0</v>
      </c>
    </row>
    <row r="41" spans="2:20" ht="18" customHeight="1" x14ac:dyDescent="0.25">
      <c r="B41" s="309">
        <v>29</v>
      </c>
      <c r="C41" s="310" t="s">
        <v>269</v>
      </c>
      <c r="D41" s="330"/>
      <c r="E41" s="307"/>
      <c r="F41" s="330">
        <v>1</v>
      </c>
      <c r="G41" s="307">
        <v>180000</v>
      </c>
      <c r="H41" s="330"/>
      <c r="I41" s="307"/>
      <c r="J41" s="330"/>
      <c r="K41" s="307"/>
      <c r="L41" s="330"/>
      <c r="M41" s="307"/>
      <c r="N41" s="330"/>
      <c r="O41" s="154"/>
      <c r="P41" s="307">
        <v>500000</v>
      </c>
      <c r="Q41" s="345">
        <v>1</v>
      </c>
      <c r="R41" s="204">
        <v>1350000</v>
      </c>
      <c r="S41" s="345">
        <v>0</v>
      </c>
      <c r="T41" s="307">
        <v>0</v>
      </c>
    </row>
    <row r="42" spans="2:20" ht="18" customHeight="1" x14ac:dyDescent="0.25">
      <c r="B42" s="309">
        <v>30</v>
      </c>
      <c r="C42" s="310" t="s">
        <v>270</v>
      </c>
      <c r="D42" s="330"/>
      <c r="E42" s="307"/>
      <c r="F42" s="330">
        <v>1</v>
      </c>
      <c r="G42" s="307">
        <v>180000</v>
      </c>
      <c r="H42" s="330"/>
      <c r="I42" s="307"/>
      <c r="J42" s="330"/>
      <c r="K42" s="307"/>
      <c r="L42" s="330">
        <v>1</v>
      </c>
      <c r="M42" s="307">
        <v>60000</v>
      </c>
      <c r="N42" s="330"/>
      <c r="O42" s="154"/>
      <c r="P42" s="307">
        <v>500000</v>
      </c>
      <c r="Q42" s="345">
        <v>1</v>
      </c>
      <c r="R42" s="204">
        <v>1350000</v>
      </c>
      <c r="S42" s="345">
        <v>0</v>
      </c>
      <c r="T42" s="307">
        <v>0</v>
      </c>
    </row>
    <row r="43" spans="2:20" ht="18" customHeight="1" x14ac:dyDescent="0.25">
      <c r="B43" s="309">
        <v>31</v>
      </c>
      <c r="C43" s="310" t="s">
        <v>271</v>
      </c>
      <c r="D43" s="330"/>
      <c r="E43" s="307"/>
      <c r="F43" s="330">
        <v>1</v>
      </c>
      <c r="G43" s="307">
        <v>180000</v>
      </c>
      <c r="H43" s="330"/>
      <c r="I43" s="307"/>
      <c r="J43" s="330"/>
      <c r="K43" s="307"/>
      <c r="L43" s="330">
        <v>1</v>
      </c>
      <c r="M43" s="307">
        <v>60000</v>
      </c>
      <c r="N43" s="330"/>
      <c r="O43" s="154"/>
      <c r="P43" s="307">
        <v>500000</v>
      </c>
      <c r="Q43" s="345">
        <v>1</v>
      </c>
      <c r="R43" s="204">
        <v>1350000</v>
      </c>
      <c r="S43" s="345">
        <v>0</v>
      </c>
      <c r="T43" s="307">
        <v>0</v>
      </c>
    </row>
    <row r="44" spans="2:20" ht="18" customHeight="1" x14ac:dyDescent="0.25">
      <c r="B44" s="309">
        <v>32</v>
      </c>
      <c r="C44" s="310" t="s">
        <v>358</v>
      </c>
      <c r="D44" s="330"/>
      <c r="E44" s="307"/>
      <c r="F44" s="330"/>
      <c r="G44" s="307"/>
      <c r="H44" s="330"/>
      <c r="I44" s="307"/>
      <c r="J44" s="330"/>
      <c r="K44" s="307"/>
      <c r="L44" s="330"/>
      <c r="M44" s="307"/>
      <c r="N44" s="330">
        <v>1</v>
      </c>
      <c r="O44" s="154">
        <v>130000</v>
      </c>
      <c r="P44" s="307">
        <v>500000</v>
      </c>
      <c r="Q44" s="345">
        <v>1</v>
      </c>
      <c r="R44" s="204">
        <v>1350000</v>
      </c>
      <c r="S44" s="345">
        <v>0</v>
      </c>
      <c r="T44" s="307">
        <v>0</v>
      </c>
    </row>
    <row r="45" spans="2:20" ht="18" customHeight="1" x14ac:dyDescent="0.25">
      <c r="B45" s="309">
        <v>33</v>
      </c>
      <c r="C45" s="310" t="s">
        <v>273</v>
      </c>
      <c r="D45" s="330"/>
      <c r="E45" s="307"/>
      <c r="F45" s="330"/>
      <c r="G45" s="307"/>
      <c r="H45" s="330">
        <v>1</v>
      </c>
      <c r="I45" s="307">
        <v>70000</v>
      </c>
      <c r="J45" s="330">
        <v>1</v>
      </c>
      <c r="K45" s="307">
        <v>60000</v>
      </c>
      <c r="L45" s="330">
        <v>1</v>
      </c>
      <c r="M45" s="307">
        <v>60000</v>
      </c>
      <c r="N45" s="330"/>
      <c r="O45" s="154"/>
      <c r="P45" s="307">
        <v>500000</v>
      </c>
      <c r="Q45" s="345">
        <v>1</v>
      </c>
      <c r="R45" s="204">
        <v>1350000</v>
      </c>
      <c r="S45" s="345">
        <v>0</v>
      </c>
      <c r="T45" s="307">
        <v>0</v>
      </c>
    </row>
    <row r="46" spans="2:20" ht="18" customHeight="1" x14ac:dyDescent="0.25">
      <c r="B46" s="309">
        <v>34</v>
      </c>
      <c r="C46" s="310" t="s">
        <v>274</v>
      </c>
      <c r="D46" s="330">
        <v>1</v>
      </c>
      <c r="E46" s="307">
        <v>120000</v>
      </c>
      <c r="F46" s="330"/>
      <c r="G46" s="307"/>
      <c r="H46" s="330">
        <v>1</v>
      </c>
      <c r="I46" s="307">
        <v>70000</v>
      </c>
      <c r="J46" s="330"/>
      <c r="K46" s="307"/>
      <c r="L46" s="330"/>
      <c r="M46" s="307"/>
      <c r="N46" s="330">
        <v>1</v>
      </c>
      <c r="O46" s="154">
        <v>130000</v>
      </c>
      <c r="P46" s="307">
        <v>500000</v>
      </c>
      <c r="Q46" s="345">
        <v>1</v>
      </c>
      <c r="R46" s="204">
        <v>1350000</v>
      </c>
      <c r="S46" s="345">
        <v>0</v>
      </c>
      <c r="T46" s="307">
        <v>0</v>
      </c>
    </row>
    <row r="47" spans="2:20" ht="18" customHeight="1" x14ac:dyDescent="0.25">
      <c r="B47" s="309">
        <v>35</v>
      </c>
      <c r="C47" s="310" t="s">
        <v>275</v>
      </c>
      <c r="D47" s="330">
        <v>1</v>
      </c>
      <c r="E47" s="307">
        <v>120000</v>
      </c>
      <c r="F47" s="330"/>
      <c r="G47" s="307"/>
      <c r="H47" s="330">
        <v>1</v>
      </c>
      <c r="I47" s="307">
        <v>70000</v>
      </c>
      <c r="J47" s="330">
        <v>1</v>
      </c>
      <c r="K47" s="307">
        <v>60000</v>
      </c>
      <c r="L47" s="330">
        <v>1</v>
      </c>
      <c r="M47" s="307">
        <v>60000</v>
      </c>
      <c r="N47" s="330"/>
      <c r="O47" s="154"/>
      <c r="P47" s="307">
        <v>500000</v>
      </c>
      <c r="Q47" s="345">
        <v>1</v>
      </c>
      <c r="R47" s="204">
        <v>1350000</v>
      </c>
      <c r="S47" s="345">
        <v>0</v>
      </c>
      <c r="T47" s="307">
        <v>0</v>
      </c>
    </row>
    <row r="48" spans="2:20" ht="18" customHeight="1" x14ac:dyDescent="0.25">
      <c r="B48" s="309">
        <v>36</v>
      </c>
      <c r="C48" s="310" t="s">
        <v>359</v>
      </c>
      <c r="D48" s="330">
        <v>1</v>
      </c>
      <c r="E48" s="307">
        <v>120000</v>
      </c>
      <c r="F48" s="330"/>
      <c r="G48" s="307"/>
      <c r="H48" s="330">
        <v>1</v>
      </c>
      <c r="I48" s="307">
        <v>70000</v>
      </c>
      <c r="J48" s="330">
        <v>1</v>
      </c>
      <c r="K48" s="307">
        <v>60000</v>
      </c>
      <c r="L48" s="330"/>
      <c r="M48" s="307"/>
      <c r="N48" s="330">
        <v>1</v>
      </c>
      <c r="O48" s="154">
        <v>130000</v>
      </c>
      <c r="P48" s="307">
        <v>800000</v>
      </c>
      <c r="Q48" s="345">
        <v>1</v>
      </c>
      <c r="R48" s="204">
        <v>3000000</v>
      </c>
      <c r="S48" s="345">
        <v>0</v>
      </c>
      <c r="T48" s="307">
        <v>1500000</v>
      </c>
    </row>
    <row r="49" spans="2:20" ht="18" customHeight="1" x14ac:dyDescent="0.25">
      <c r="B49" s="309">
        <v>37</v>
      </c>
      <c r="C49" s="310" t="s">
        <v>360</v>
      </c>
      <c r="D49" s="330">
        <v>1</v>
      </c>
      <c r="E49" s="307">
        <v>120000</v>
      </c>
      <c r="F49" s="330"/>
      <c r="G49" s="307"/>
      <c r="H49" s="330">
        <v>1</v>
      </c>
      <c r="I49" s="307">
        <v>70000</v>
      </c>
      <c r="J49" s="330">
        <v>1</v>
      </c>
      <c r="K49" s="307">
        <v>60000</v>
      </c>
      <c r="L49" s="330">
        <v>1</v>
      </c>
      <c r="M49" s="307">
        <v>60000</v>
      </c>
      <c r="N49" s="330">
        <v>1</v>
      </c>
      <c r="O49" s="154">
        <v>130000</v>
      </c>
      <c r="P49" s="307">
        <v>800000</v>
      </c>
      <c r="Q49" s="345">
        <v>1</v>
      </c>
      <c r="R49" s="204">
        <v>3000000</v>
      </c>
      <c r="S49" s="345">
        <v>0</v>
      </c>
      <c r="T49" s="307">
        <v>1500000</v>
      </c>
    </row>
    <row r="50" spans="2:20" ht="18" customHeight="1" x14ac:dyDescent="0.25">
      <c r="B50" s="309">
        <v>38</v>
      </c>
      <c r="C50" s="310" t="s">
        <v>361</v>
      </c>
      <c r="D50" s="330">
        <v>1</v>
      </c>
      <c r="E50" s="307">
        <v>120000</v>
      </c>
      <c r="F50" s="330"/>
      <c r="G50" s="307"/>
      <c r="H50" s="330">
        <v>1</v>
      </c>
      <c r="I50" s="307">
        <v>70000</v>
      </c>
      <c r="J50" s="330">
        <v>1</v>
      </c>
      <c r="K50" s="307">
        <v>60000</v>
      </c>
      <c r="L50" s="330">
        <v>1</v>
      </c>
      <c r="M50" s="307">
        <v>60000</v>
      </c>
      <c r="N50" s="330"/>
      <c r="O50" s="154"/>
      <c r="P50" s="307">
        <v>800000</v>
      </c>
      <c r="Q50" s="345">
        <v>1</v>
      </c>
      <c r="R50" s="204">
        <v>3000000</v>
      </c>
      <c r="S50" s="345">
        <v>0</v>
      </c>
      <c r="T50" s="307">
        <v>1500000</v>
      </c>
    </row>
    <row r="51" spans="2:20" ht="18" customHeight="1" x14ac:dyDescent="0.25">
      <c r="B51" s="309">
        <v>39</v>
      </c>
      <c r="C51" s="310" t="s">
        <v>279</v>
      </c>
      <c r="D51" s="330">
        <v>1</v>
      </c>
      <c r="E51" s="307">
        <v>120000</v>
      </c>
      <c r="F51" s="330">
        <v>1</v>
      </c>
      <c r="G51" s="307">
        <v>180000</v>
      </c>
      <c r="H51" s="330">
        <v>1</v>
      </c>
      <c r="I51" s="307">
        <v>70000</v>
      </c>
      <c r="J51" s="330"/>
      <c r="K51" s="307"/>
      <c r="L51" s="330"/>
      <c r="M51" s="307"/>
      <c r="N51" s="330">
        <v>1</v>
      </c>
      <c r="O51" s="154">
        <v>130000</v>
      </c>
      <c r="P51" s="307">
        <v>600000</v>
      </c>
      <c r="Q51" s="345">
        <v>1</v>
      </c>
      <c r="R51" s="204">
        <v>1350000</v>
      </c>
      <c r="S51" s="345">
        <v>0</v>
      </c>
      <c r="T51" s="307">
        <v>0</v>
      </c>
    </row>
    <row r="52" spans="2:20" ht="18" customHeight="1" x14ac:dyDescent="0.25">
      <c r="B52" s="309">
        <v>40</v>
      </c>
      <c r="C52" s="310" t="s">
        <v>280</v>
      </c>
      <c r="D52" s="330">
        <v>3</v>
      </c>
      <c r="E52" s="307">
        <v>120000</v>
      </c>
      <c r="F52" s="330">
        <v>3</v>
      </c>
      <c r="G52" s="307">
        <v>180000</v>
      </c>
      <c r="H52" s="330">
        <v>5</v>
      </c>
      <c r="I52" s="307">
        <v>70000</v>
      </c>
      <c r="J52" s="330">
        <v>5</v>
      </c>
      <c r="K52" s="307">
        <v>60000</v>
      </c>
      <c r="L52" s="330">
        <v>10</v>
      </c>
      <c r="M52" s="307">
        <v>60000</v>
      </c>
      <c r="N52" s="330">
        <v>2</v>
      </c>
      <c r="O52" s="154">
        <v>130000</v>
      </c>
      <c r="P52" s="307">
        <v>500000</v>
      </c>
      <c r="Q52" s="345">
        <v>8</v>
      </c>
      <c r="R52" s="204">
        <v>2000000</v>
      </c>
      <c r="S52" s="345">
        <v>3</v>
      </c>
      <c r="T52" s="307">
        <v>22000000</v>
      </c>
    </row>
    <row r="53" spans="2:20" ht="18" customHeight="1" x14ac:dyDescent="0.25">
      <c r="B53" s="321"/>
      <c r="C53" s="323" t="s">
        <v>297</v>
      </c>
      <c r="D53" s="347">
        <f>SUM(D9:D52)</f>
        <v>18</v>
      </c>
      <c r="E53" s="324">
        <f>SUM(E9:E52)</f>
        <v>1920000</v>
      </c>
      <c r="F53" s="347">
        <f t="shared" ref="F53:T53" si="0">SUM(F9:F52)</f>
        <v>16</v>
      </c>
      <c r="G53" s="324">
        <f t="shared" si="0"/>
        <v>2520000</v>
      </c>
      <c r="H53" s="347">
        <f t="shared" si="0"/>
        <v>15</v>
      </c>
      <c r="I53" s="324">
        <f t="shared" si="0"/>
        <v>770000</v>
      </c>
      <c r="J53" s="347">
        <f t="shared" si="0"/>
        <v>10</v>
      </c>
      <c r="K53" s="324">
        <f t="shared" si="0"/>
        <v>360000</v>
      </c>
      <c r="L53" s="347">
        <f t="shared" si="0"/>
        <v>20</v>
      </c>
      <c r="M53" s="324">
        <f t="shared" si="0"/>
        <v>660000</v>
      </c>
      <c r="N53" s="347">
        <f t="shared" si="0"/>
        <v>20</v>
      </c>
      <c r="O53" s="324">
        <f t="shared" si="0"/>
        <v>2340000</v>
      </c>
      <c r="P53" s="324">
        <f t="shared" si="0"/>
        <v>20000000</v>
      </c>
      <c r="Q53" s="320">
        <f t="shared" si="0"/>
        <v>45</v>
      </c>
      <c r="R53" s="319">
        <f t="shared" si="0"/>
        <v>61850000</v>
      </c>
      <c r="S53" s="320">
        <f t="shared" si="0"/>
        <v>3</v>
      </c>
      <c r="T53" s="319">
        <f t="shared" si="0"/>
        <v>29500000</v>
      </c>
    </row>
    <row r="54" spans="2:20" ht="18" customHeight="1" x14ac:dyDescent="0.25">
      <c r="B54" s="213"/>
      <c r="C54" s="283"/>
      <c r="D54" s="348"/>
      <c r="E54" s="213"/>
      <c r="F54" s="348"/>
      <c r="G54" s="213"/>
      <c r="H54" s="348"/>
      <c r="I54" s="213"/>
      <c r="J54" s="348"/>
      <c r="K54" s="213"/>
      <c r="L54" s="348"/>
      <c r="M54" s="213"/>
      <c r="N54" s="348"/>
      <c r="O54" s="213"/>
      <c r="P54" s="349"/>
      <c r="Q54" s="924" t="s">
        <v>1788</v>
      </c>
      <c r="R54" s="925"/>
      <c r="S54" s="925"/>
      <c r="T54" s="539">
        <f>+T53+R53+P53+O53+M53+K53+I53+G53+E53</f>
        <v>119920000</v>
      </c>
    </row>
    <row r="55" spans="2:20" ht="18" customHeight="1" x14ac:dyDescent="0.25">
      <c r="B55" s="194"/>
      <c r="C55" s="259"/>
      <c r="D55" s="503"/>
      <c r="E55" s="194"/>
      <c r="F55" s="503"/>
      <c r="G55" s="194"/>
      <c r="H55" s="503"/>
      <c r="I55" s="194"/>
      <c r="J55" s="503"/>
      <c r="K55" s="194"/>
      <c r="L55" s="503"/>
      <c r="M55" s="194"/>
      <c r="N55" s="503"/>
      <c r="O55" s="194"/>
      <c r="P55" s="194"/>
      <c r="Q55" s="541"/>
      <c r="R55" s="541"/>
      <c r="S55" s="541"/>
      <c r="T55" s="542"/>
    </row>
    <row r="56" spans="2:20" ht="18" customHeight="1" x14ac:dyDescent="0.25">
      <c r="B56" s="194"/>
      <c r="C56" s="259"/>
      <c r="D56" s="325"/>
      <c r="E56" s="194"/>
      <c r="F56" s="325"/>
      <c r="G56" s="194"/>
      <c r="H56" s="325"/>
      <c r="I56" s="194"/>
      <c r="J56" s="325"/>
      <c r="K56" s="194"/>
      <c r="L56" s="325"/>
      <c r="M56" s="194"/>
      <c r="N56" s="325"/>
      <c r="O56" s="194"/>
      <c r="P56" s="350"/>
      <c r="Q56" s="926" t="s">
        <v>283</v>
      </c>
      <c r="R56" s="927"/>
      <c r="S56" s="927"/>
      <c r="T56" s="540">
        <f>+T54+'COMPUTO  II'!Q51+'COMPUTO '!O118+'COMPUTO '!O54</f>
        <v>1275057000</v>
      </c>
    </row>
    <row r="57" spans="2:20" ht="18" customHeight="1" x14ac:dyDescent="0.25">
      <c r="B57" s="194"/>
      <c r="C57" s="259"/>
      <c r="D57" s="325"/>
      <c r="E57" s="194"/>
      <c r="F57" s="325"/>
      <c r="G57" s="194"/>
      <c r="H57" s="325"/>
      <c r="I57" s="194"/>
      <c r="J57" s="325"/>
      <c r="K57" s="194"/>
      <c r="L57" s="325"/>
      <c r="M57" s="194"/>
      <c r="N57" s="325"/>
      <c r="O57" s="194"/>
      <c r="P57" s="194"/>
      <c r="Q57" s="326"/>
      <c r="R57" s="326"/>
      <c r="S57" s="326"/>
      <c r="T57" s="351"/>
    </row>
    <row r="58" spans="2:20" s="335" customFormat="1" ht="18" customHeight="1" x14ac:dyDescent="0.25">
      <c r="B58" s="328" t="s">
        <v>362</v>
      </c>
      <c r="C58" s="328"/>
      <c r="D58" s="337"/>
      <c r="E58" s="328"/>
      <c r="F58" s="337"/>
      <c r="G58" s="328"/>
      <c r="H58" s="337"/>
      <c r="I58" s="328"/>
      <c r="J58" s="337"/>
      <c r="K58" s="328"/>
      <c r="L58" s="337"/>
      <c r="M58" s="328"/>
      <c r="N58" s="337"/>
      <c r="O58" s="328"/>
      <c r="P58" s="328"/>
      <c r="Q58" s="337"/>
      <c r="R58" s="328"/>
      <c r="S58" s="337"/>
      <c r="T58" s="328"/>
    </row>
    <row r="59" spans="2:20" s="335" customFormat="1" ht="18" customHeight="1" x14ac:dyDescent="0.25">
      <c r="B59" s="919" t="s">
        <v>363</v>
      </c>
      <c r="C59" s="919"/>
      <c r="D59" s="919"/>
      <c r="E59" s="919"/>
      <c r="F59" s="919"/>
      <c r="G59" s="919"/>
      <c r="H59" s="919"/>
      <c r="I59" s="919"/>
      <c r="J59" s="919"/>
      <c r="K59" s="919"/>
      <c r="L59" s="919"/>
      <c r="M59" s="919"/>
      <c r="N59" s="919"/>
      <c r="O59" s="919"/>
      <c r="P59" s="919"/>
      <c r="Q59" s="919"/>
      <c r="R59" s="919"/>
      <c r="S59" s="919"/>
      <c r="T59" s="919"/>
    </row>
    <row r="60" spans="2:20" s="335" customFormat="1" ht="18" customHeight="1" x14ac:dyDescent="0.25">
      <c r="B60" s="919" t="s">
        <v>364</v>
      </c>
      <c r="C60" s="919"/>
      <c r="D60" s="919"/>
      <c r="E60" s="919"/>
      <c r="F60" s="919"/>
      <c r="G60" s="919"/>
      <c r="H60" s="919"/>
      <c r="I60" s="919"/>
      <c r="J60" s="919"/>
      <c r="K60" s="919"/>
      <c r="L60" s="919"/>
      <c r="M60" s="919"/>
      <c r="N60" s="919"/>
      <c r="O60" s="919"/>
      <c r="P60" s="919"/>
      <c r="Q60" s="919"/>
      <c r="R60" s="919"/>
      <c r="S60" s="919"/>
      <c r="T60" s="919"/>
    </row>
    <row r="61" spans="2:20" ht="18" customHeight="1" x14ac:dyDescent="0.25"/>
    <row r="62" spans="2:20" ht="18" customHeight="1" x14ac:dyDescent="0.25"/>
    <row r="63" spans="2:20" ht="18" customHeight="1" x14ac:dyDescent="0.25"/>
    <row r="64" spans="2:20"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sheetData>
  <mergeCells count="25">
    <mergeCell ref="B3:T3"/>
    <mergeCell ref="B4:T4"/>
    <mergeCell ref="B5:T5"/>
    <mergeCell ref="B6:T6"/>
    <mergeCell ref="T7:T8"/>
    <mergeCell ref="H7:H8"/>
    <mergeCell ref="I7:I8"/>
    <mergeCell ref="J7:J8"/>
    <mergeCell ref="K7:K8"/>
    <mergeCell ref="Q54:S54"/>
    <mergeCell ref="Q56:S56"/>
    <mergeCell ref="B59:T59"/>
    <mergeCell ref="B60:T60"/>
    <mergeCell ref="L7:L8"/>
    <mergeCell ref="M7:M8"/>
    <mergeCell ref="N7:N8"/>
    <mergeCell ref="O7:P7"/>
    <mergeCell ref="Q7:R7"/>
    <mergeCell ref="S7:S8"/>
    <mergeCell ref="B7:B8"/>
    <mergeCell ref="C7:C8"/>
    <mergeCell ref="D7:D8"/>
    <mergeCell ref="E7:E8"/>
    <mergeCell ref="F7:F8"/>
    <mergeCell ref="G7:G8"/>
  </mergeCells>
  <pageMargins left="1.28" right="0.7" top="0.75" bottom="0.75" header="0.3" footer="0.3"/>
  <pageSetup paperSize="5" scale="7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00B0F0"/>
  </sheetPr>
  <dimension ref="A1:G49"/>
  <sheetViews>
    <sheetView view="pageLayout" zoomScaleNormal="100" workbookViewId="0">
      <selection activeCell="D8" sqref="D8"/>
    </sheetView>
  </sheetViews>
  <sheetFormatPr baseColWidth="10" defaultRowHeight="15" x14ac:dyDescent="0.25"/>
  <cols>
    <col min="1" max="1" width="18.42578125" style="113" customWidth="1"/>
    <col min="3" max="3" width="22.42578125" style="262" customWidth="1"/>
    <col min="4" max="4" width="114.42578125" customWidth="1"/>
  </cols>
  <sheetData>
    <row r="1" spans="2:7" s="113" customFormat="1" x14ac:dyDescent="0.25">
      <c r="C1" s="262"/>
    </row>
    <row r="2" spans="2:7" s="113" customFormat="1" x14ac:dyDescent="0.25">
      <c r="C2" s="262"/>
    </row>
    <row r="3" spans="2:7" ht="18" customHeight="1" x14ac:dyDescent="0.25">
      <c r="B3" s="930" t="s">
        <v>232</v>
      </c>
      <c r="C3" s="931"/>
      <c r="D3" s="931"/>
      <c r="E3" s="931"/>
      <c r="F3" s="931"/>
      <c r="G3" s="932"/>
    </row>
    <row r="4" spans="2:7" ht="18" customHeight="1" x14ac:dyDescent="0.25">
      <c r="B4" s="867" t="s">
        <v>1399</v>
      </c>
      <c r="C4" s="867"/>
      <c r="D4" s="867"/>
      <c r="E4" s="867"/>
      <c r="F4" s="867"/>
      <c r="G4" s="867"/>
    </row>
    <row r="5" spans="2:7" ht="31.5" customHeight="1" x14ac:dyDescent="0.25">
      <c r="B5" s="492" t="s">
        <v>299</v>
      </c>
      <c r="C5" s="496" t="s">
        <v>0</v>
      </c>
      <c r="D5" s="492" t="s">
        <v>1812</v>
      </c>
      <c r="E5" s="493" t="s">
        <v>1813</v>
      </c>
      <c r="F5" s="495" t="s">
        <v>1814</v>
      </c>
      <c r="G5" s="495" t="s">
        <v>164</v>
      </c>
    </row>
    <row r="6" spans="2:7" ht="56.85" customHeight="1" x14ac:dyDescent="0.25">
      <c r="B6" s="507">
        <v>1</v>
      </c>
      <c r="C6" s="543" t="s">
        <v>1815</v>
      </c>
      <c r="D6" s="544" t="s">
        <v>1816</v>
      </c>
      <c r="E6" s="507">
        <v>2</v>
      </c>
      <c r="F6" s="144">
        <v>15873000</v>
      </c>
      <c r="G6" s="144">
        <f t="shared" ref="G6:G11" si="0">+F6*E6</f>
        <v>31746000</v>
      </c>
    </row>
    <row r="7" spans="2:7" ht="56.85" customHeight="1" x14ac:dyDescent="0.25">
      <c r="B7" s="507">
        <v>2</v>
      </c>
      <c r="C7" s="545" t="s">
        <v>1817</v>
      </c>
      <c r="D7" s="544" t="s">
        <v>1818</v>
      </c>
      <c r="E7" s="507">
        <v>17</v>
      </c>
      <c r="F7" s="144">
        <v>2380000</v>
      </c>
      <c r="G7" s="144">
        <f t="shared" si="0"/>
        <v>40460000</v>
      </c>
    </row>
    <row r="8" spans="2:7" ht="56.85" customHeight="1" x14ac:dyDescent="0.25">
      <c r="B8" s="507">
        <v>3</v>
      </c>
      <c r="C8" s="545" t="s">
        <v>1819</v>
      </c>
      <c r="D8" s="544" t="s">
        <v>1820</v>
      </c>
      <c r="E8" s="507">
        <v>45</v>
      </c>
      <c r="F8" s="144">
        <v>3748000</v>
      </c>
      <c r="G8" s="144">
        <f t="shared" si="0"/>
        <v>168660000</v>
      </c>
    </row>
    <row r="9" spans="2:7" ht="56.85" customHeight="1" x14ac:dyDescent="0.25">
      <c r="B9" s="507">
        <v>4</v>
      </c>
      <c r="C9" s="545" t="s">
        <v>1821</v>
      </c>
      <c r="D9" s="544" t="s">
        <v>1822</v>
      </c>
      <c r="E9" s="507">
        <v>25</v>
      </c>
      <c r="F9" s="144">
        <v>1960000</v>
      </c>
      <c r="G9" s="144">
        <f t="shared" si="0"/>
        <v>49000000</v>
      </c>
    </row>
    <row r="10" spans="2:7" ht="56.85" customHeight="1" x14ac:dyDescent="0.25">
      <c r="B10" s="507">
        <v>5</v>
      </c>
      <c r="C10" s="545" t="s">
        <v>1823</v>
      </c>
      <c r="D10" s="544" t="s">
        <v>1824</v>
      </c>
      <c r="E10" s="507">
        <v>1</v>
      </c>
      <c r="F10" s="144">
        <v>14652000</v>
      </c>
      <c r="G10" s="144">
        <f t="shared" si="0"/>
        <v>14652000</v>
      </c>
    </row>
    <row r="11" spans="2:7" ht="56.85" customHeight="1" x14ac:dyDescent="0.25">
      <c r="B11" s="507">
        <v>6</v>
      </c>
      <c r="C11" s="545" t="s">
        <v>1825</v>
      </c>
      <c r="D11" s="546"/>
      <c r="E11" s="507">
        <v>1</v>
      </c>
      <c r="F11" s="144">
        <v>2890000</v>
      </c>
      <c r="G11" s="144">
        <f t="shared" si="0"/>
        <v>2890000</v>
      </c>
    </row>
    <row r="12" spans="2:7" ht="18" customHeight="1" x14ac:dyDescent="0.25">
      <c r="B12" s="213"/>
      <c r="C12" s="354"/>
      <c r="D12" s="352"/>
      <c r="E12" s="877" t="s">
        <v>560</v>
      </c>
      <c r="F12" s="878"/>
      <c r="G12" s="494">
        <f>SUM(G6:G11)</f>
        <v>307408000</v>
      </c>
    </row>
    <row r="13" spans="2:7" ht="18" customHeight="1" x14ac:dyDescent="0.25">
      <c r="B13" s="194"/>
      <c r="C13" s="355"/>
      <c r="D13" s="353"/>
      <c r="E13" s="877" t="s">
        <v>159</v>
      </c>
      <c r="F13" s="878"/>
      <c r="G13" s="494">
        <f>+G12*16/100</f>
        <v>49185280</v>
      </c>
    </row>
    <row r="14" spans="2:7" ht="18" customHeight="1" x14ac:dyDescent="0.25">
      <c r="B14" s="194"/>
      <c r="C14" s="355"/>
      <c r="D14" s="353"/>
      <c r="E14" s="877" t="s">
        <v>161</v>
      </c>
      <c r="F14" s="878"/>
      <c r="G14" s="494">
        <f>SUM(G12:G13)</f>
        <v>356593280</v>
      </c>
    </row>
    <row r="15" spans="2:7" ht="18" customHeight="1" x14ac:dyDescent="0.25"/>
    <row r="16" spans="2:7" ht="18" customHeight="1" x14ac:dyDescent="0.25"/>
    <row r="17" ht="18" customHeight="1" x14ac:dyDescent="0.25"/>
    <row r="18" ht="18" customHeight="1" x14ac:dyDescent="0.25"/>
    <row r="19" ht="18" customHeight="1" x14ac:dyDescent="0.25"/>
    <row r="20" ht="18" customHeight="1" x14ac:dyDescent="0.25"/>
    <row r="21" ht="18" customHeight="1" x14ac:dyDescent="0.25"/>
    <row r="22" ht="18" customHeight="1" x14ac:dyDescent="0.25"/>
    <row r="23" ht="18" customHeight="1" x14ac:dyDescent="0.25"/>
    <row r="24" ht="18" customHeight="1" x14ac:dyDescent="0.25"/>
    <row r="25" ht="18" customHeight="1" x14ac:dyDescent="0.25"/>
    <row r="26" ht="18" customHeight="1" x14ac:dyDescent="0.25"/>
    <row r="27" ht="18" customHeight="1" x14ac:dyDescent="0.25"/>
    <row r="28" ht="18" customHeight="1" x14ac:dyDescent="0.25"/>
    <row r="29" ht="18" customHeight="1" x14ac:dyDescent="0.25"/>
    <row r="30" ht="18" customHeight="1" x14ac:dyDescent="0.25"/>
    <row r="31" ht="18" customHeight="1" x14ac:dyDescent="0.25"/>
    <row r="32"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sheetData>
  <mergeCells count="5">
    <mergeCell ref="B3:G3"/>
    <mergeCell ref="B4:G4"/>
    <mergeCell ref="E12:F12"/>
    <mergeCell ref="E13:F13"/>
    <mergeCell ref="E14:F14"/>
  </mergeCells>
  <pageMargins left="0.7" right="0.7" top="0.75" bottom="1.73" header="0.3" footer="1.26"/>
  <pageSetup paperSize="5" scale="7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00B0F0"/>
  </sheetPr>
  <dimension ref="A1:L16"/>
  <sheetViews>
    <sheetView view="pageLayout" workbookViewId="0">
      <selection activeCell="C16" sqref="C16:K16"/>
    </sheetView>
  </sheetViews>
  <sheetFormatPr baseColWidth="10" defaultRowHeight="15" x14ac:dyDescent="0.25"/>
  <cols>
    <col min="1" max="1" width="11.42578125" style="113"/>
    <col min="2" max="2" width="3.85546875" bestFit="1" customWidth="1"/>
    <col min="3" max="3" width="22.140625" bestFit="1" customWidth="1"/>
    <col min="5" max="6" width="13.85546875" bestFit="1" customWidth="1"/>
    <col min="8" max="8" width="14.85546875" bestFit="1" customWidth="1"/>
    <col min="9" max="9" width="15.85546875" bestFit="1" customWidth="1"/>
    <col min="11" max="11" width="15.85546875" bestFit="1" customWidth="1"/>
    <col min="12" max="12" width="17.28515625" bestFit="1" customWidth="1"/>
  </cols>
  <sheetData>
    <row r="1" spans="2:12" s="113" customFormat="1" x14ac:dyDescent="0.25"/>
    <row r="2" spans="2:12" s="113" customFormat="1" x14ac:dyDescent="0.25"/>
    <row r="3" spans="2:12" x14ac:dyDescent="0.25">
      <c r="B3" s="899" t="s">
        <v>286</v>
      </c>
      <c r="C3" s="899"/>
      <c r="D3" s="899"/>
      <c r="E3" s="899"/>
      <c r="F3" s="899"/>
      <c r="G3" s="899"/>
      <c r="H3" s="899"/>
      <c r="I3" s="899"/>
      <c r="J3" s="899"/>
      <c r="K3" s="899"/>
      <c r="L3" s="899"/>
    </row>
    <row r="4" spans="2:12" x14ac:dyDescent="0.25">
      <c r="B4" s="899" t="s">
        <v>1398</v>
      </c>
      <c r="C4" s="899"/>
      <c r="D4" s="899"/>
      <c r="E4" s="899"/>
      <c r="F4" s="899"/>
      <c r="G4" s="899"/>
      <c r="H4" s="899"/>
      <c r="I4" s="899"/>
      <c r="J4" s="899"/>
      <c r="K4" s="899"/>
      <c r="L4" s="899"/>
    </row>
    <row r="5" spans="2:12" x14ac:dyDescent="0.25">
      <c r="B5" s="900" t="s">
        <v>305</v>
      </c>
      <c r="C5" s="900" t="s">
        <v>287</v>
      </c>
      <c r="D5" s="899" t="s">
        <v>306</v>
      </c>
      <c r="E5" s="899"/>
      <c r="F5" s="899"/>
      <c r="G5" s="899" t="s">
        <v>307</v>
      </c>
      <c r="H5" s="899"/>
      <c r="I5" s="899"/>
      <c r="J5" s="899" t="s">
        <v>308</v>
      </c>
      <c r="K5" s="899"/>
      <c r="L5" s="899"/>
    </row>
    <row r="6" spans="2:12" ht="24.75" x14ac:dyDescent="0.25">
      <c r="B6" s="900"/>
      <c r="C6" s="900"/>
      <c r="D6" s="499" t="s">
        <v>366</v>
      </c>
      <c r="E6" s="499" t="s">
        <v>310</v>
      </c>
      <c r="F6" s="499" t="s">
        <v>180</v>
      </c>
      <c r="G6" s="499" t="s">
        <v>366</v>
      </c>
      <c r="H6" s="499" t="s">
        <v>310</v>
      </c>
      <c r="I6" s="499" t="s">
        <v>180</v>
      </c>
      <c r="J6" s="499" t="s">
        <v>366</v>
      </c>
      <c r="K6" s="499" t="s">
        <v>310</v>
      </c>
      <c r="L6" s="499" t="s">
        <v>180</v>
      </c>
    </row>
    <row r="7" spans="2:12" x14ac:dyDescent="0.25">
      <c r="B7" s="434">
        <v>1</v>
      </c>
      <c r="C7" s="547" t="s">
        <v>242</v>
      </c>
      <c r="D7" s="434"/>
      <c r="E7" s="548"/>
      <c r="F7" s="548"/>
      <c r="G7" s="547"/>
      <c r="H7" s="547"/>
      <c r="I7" s="547"/>
      <c r="J7" s="549"/>
      <c r="K7" s="549"/>
      <c r="L7" s="549"/>
    </row>
    <row r="8" spans="2:12" x14ac:dyDescent="0.25">
      <c r="B8" s="434">
        <v>2</v>
      </c>
      <c r="C8" s="547" t="s">
        <v>248</v>
      </c>
      <c r="D8" s="547"/>
      <c r="E8" s="550"/>
      <c r="F8" s="550"/>
      <c r="G8" s="547"/>
      <c r="H8" s="547"/>
      <c r="I8" s="547"/>
      <c r="J8" s="434"/>
      <c r="K8" s="437"/>
      <c r="L8" s="437"/>
    </row>
    <row r="9" spans="2:12" x14ac:dyDescent="0.25">
      <c r="B9" s="434">
        <v>3</v>
      </c>
      <c r="C9" s="547" t="s">
        <v>259</v>
      </c>
      <c r="D9" s="547"/>
      <c r="E9" s="550"/>
      <c r="F9" s="550"/>
      <c r="G9" s="547"/>
      <c r="H9" s="547"/>
      <c r="I9" s="547"/>
      <c r="J9" s="549"/>
      <c r="K9" s="551"/>
      <c r="L9" s="551"/>
    </row>
    <row r="10" spans="2:12" x14ac:dyDescent="0.25">
      <c r="B10" s="434">
        <v>4</v>
      </c>
      <c r="C10" s="547" t="s">
        <v>296</v>
      </c>
      <c r="D10" s="547"/>
      <c r="E10" s="550"/>
      <c r="F10" s="550"/>
      <c r="G10" s="547"/>
      <c r="H10" s="547"/>
      <c r="I10" s="547"/>
      <c r="J10" s="434">
        <v>1</v>
      </c>
      <c r="K10" s="437">
        <v>160000000</v>
      </c>
      <c r="L10" s="437">
        <v>160000000</v>
      </c>
    </row>
    <row r="11" spans="2:12" x14ac:dyDescent="0.25">
      <c r="B11" s="434">
        <v>5</v>
      </c>
      <c r="C11" s="547" t="s">
        <v>277</v>
      </c>
      <c r="D11" s="547"/>
      <c r="E11" s="550"/>
      <c r="F11" s="550"/>
      <c r="G11" s="547"/>
      <c r="H11" s="547"/>
      <c r="I11" s="547"/>
      <c r="J11" s="434"/>
      <c r="K11" s="437"/>
      <c r="L11" s="437">
        <v>0</v>
      </c>
    </row>
    <row r="12" spans="2:12" x14ac:dyDescent="0.25">
      <c r="B12" s="434">
        <v>6</v>
      </c>
      <c r="C12" s="547" t="s">
        <v>278</v>
      </c>
      <c r="D12" s="547"/>
      <c r="E12" s="550"/>
      <c r="F12" s="550"/>
      <c r="G12" s="547"/>
      <c r="H12" s="547"/>
      <c r="I12" s="547"/>
      <c r="J12" s="434">
        <v>1</v>
      </c>
      <c r="K12" s="437">
        <v>160000000</v>
      </c>
      <c r="L12" s="437">
        <v>160000000</v>
      </c>
    </row>
    <row r="13" spans="2:12" x14ac:dyDescent="0.25">
      <c r="B13" s="434">
        <v>7</v>
      </c>
      <c r="C13" s="547" t="s">
        <v>265</v>
      </c>
      <c r="D13" s="547"/>
      <c r="E13" s="550"/>
      <c r="F13" s="550"/>
      <c r="G13" s="547"/>
      <c r="H13" s="547"/>
      <c r="I13" s="547"/>
      <c r="J13" s="434">
        <v>1</v>
      </c>
      <c r="K13" s="437">
        <v>160000000</v>
      </c>
      <c r="L13" s="437">
        <v>160000000</v>
      </c>
    </row>
    <row r="14" spans="2:12" x14ac:dyDescent="0.25">
      <c r="B14" s="434">
        <v>8</v>
      </c>
      <c r="C14" s="547" t="s">
        <v>280</v>
      </c>
      <c r="D14" s="434">
        <v>1</v>
      </c>
      <c r="E14" s="437">
        <v>6100000</v>
      </c>
      <c r="F14" s="437">
        <v>6100000</v>
      </c>
      <c r="G14" s="552">
        <v>1</v>
      </c>
      <c r="H14" s="437">
        <v>60000000</v>
      </c>
      <c r="I14" s="437">
        <v>60000000</v>
      </c>
      <c r="J14" s="547"/>
      <c r="K14" s="553"/>
      <c r="L14" s="437"/>
    </row>
    <row r="15" spans="2:12" x14ac:dyDescent="0.25">
      <c r="B15" s="897"/>
      <c r="C15" s="554" t="s">
        <v>297</v>
      </c>
      <c r="D15" s="498">
        <v>1</v>
      </c>
      <c r="E15" s="555"/>
      <c r="F15" s="556">
        <v>6100000</v>
      </c>
      <c r="G15" s="557">
        <v>1</v>
      </c>
      <c r="H15" s="554"/>
      <c r="I15" s="556">
        <v>60000000</v>
      </c>
      <c r="J15" s="498">
        <f>SUM(J7:J14)</f>
        <v>3</v>
      </c>
      <c r="K15" s="558"/>
      <c r="L15" s="442">
        <v>480000000</v>
      </c>
    </row>
    <row r="16" spans="2:12" x14ac:dyDescent="0.25">
      <c r="B16" s="933"/>
      <c r="C16" s="899" t="s">
        <v>1881</v>
      </c>
      <c r="D16" s="899"/>
      <c r="E16" s="899"/>
      <c r="F16" s="899"/>
      <c r="G16" s="899"/>
      <c r="H16" s="899"/>
      <c r="I16" s="899"/>
      <c r="J16" s="899"/>
      <c r="K16" s="899"/>
      <c r="L16" s="440">
        <f>+F15+I15+L15</f>
        <v>546100000</v>
      </c>
    </row>
  </sheetData>
  <mergeCells count="9">
    <mergeCell ref="B15:B16"/>
    <mergeCell ref="C16:K16"/>
    <mergeCell ref="B3:L3"/>
    <mergeCell ref="B4:L4"/>
    <mergeCell ref="B5:B6"/>
    <mergeCell ref="C5:C6"/>
    <mergeCell ref="D5:F5"/>
    <mergeCell ref="G5:I5"/>
    <mergeCell ref="J5:L5"/>
  </mergeCells>
  <printOptions horizontalCentered="1"/>
  <pageMargins left="0.7" right="0.7" top="0.75" bottom="1.32" header="0.3" footer="0.86"/>
  <pageSetup paperSize="5" scale="80" orientation="landscape" r:id="rId1"/>
  <headerFooter>
    <oddFooter xml:space="preserve">&amp;C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00B0F0"/>
  </sheetPr>
  <dimension ref="B3:P50"/>
  <sheetViews>
    <sheetView view="pageLayout" topLeftCell="B1" zoomScale="80" zoomScalePageLayoutView="80" workbookViewId="0">
      <selection activeCell="L44" sqref="L44"/>
    </sheetView>
  </sheetViews>
  <sheetFormatPr baseColWidth="10" defaultRowHeight="12" x14ac:dyDescent="0.2"/>
  <cols>
    <col min="1" max="1" width="11.42578125" style="159"/>
    <col min="2" max="2" width="6.85546875" style="562" customWidth="1"/>
    <col min="3" max="3" width="21.42578125" style="159" customWidth="1"/>
    <col min="4" max="4" width="8.28515625" style="562" customWidth="1"/>
    <col min="5" max="5" width="11.28515625" style="159" customWidth="1"/>
    <col min="6" max="6" width="13.28515625" style="159" customWidth="1"/>
    <col min="7" max="7" width="9.140625" style="562" customWidth="1"/>
    <col min="8" max="8" width="11" style="159" customWidth="1"/>
    <col min="9" max="9" width="14.85546875" style="159" customWidth="1"/>
    <col min="10" max="10" width="9.140625" style="562" customWidth="1"/>
    <col min="11" max="11" width="10.85546875" style="159" customWidth="1"/>
    <col min="12" max="12" width="13.42578125" style="159" customWidth="1"/>
    <col min="13" max="13" width="8.140625" style="562" customWidth="1"/>
    <col min="14" max="14" width="12.5703125" style="159" customWidth="1"/>
    <col min="15" max="15" width="14.7109375" style="159" customWidth="1"/>
    <col min="16" max="16" width="16.28515625" style="159" customWidth="1"/>
    <col min="17" max="16384" width="11.42578125" style="159"/>
  </cols>
  <sheetData>
    <row r="3" spans="2:16" x14ac:dyDescent="0.2">
      <c r="B3" s="944" t="s">
        <v>367</v>
      </c>
      <c r="C3" s="944"/>
      <c r="D3" s="944"/>
      <c r="E3" s="944"/>
      <c r="F3" s="944"/>
      <c r="G3" s="944"/>
      <c r="H3" s="944"/>
      <c r="I3" s="944"/>
      <c r="J3" s="944"/>
      <c r="K3" s="944"/>
      <c r="L3" s="944"/>
      <c r="M3" s="944"/>
      <c r="N3" s="944"/>
      <c r="O3" s="944"/>
      <c r="P3" s="944"/>
    </row>
    <row r="4" spans="2:16" x14ac:dyDescent="0.2">
      <c r="B4" s="867" t="s">
        <v>1400</v>
      </c>
      <c r="C4" s="867"/>
      <c r="D4" s="867"/>
      <c r="E4" s="867"/>
      <c r="F4" s="867"/>
      <c r="G4" s="867"/>
      <c r="H4" s="867"/>
      <c r="I4" s="867"/>
      <c r="J4" s="867"/>
      <c r="K4" s="867"/>
      <c r="L4" s="867"/>
      <c r="M4" s="867"/>
      <c r="N4" s="867"/>
      <c r="O4" s="867"/>
      <c r="P4" s="867"/>
    </row>
    <row r="5" spans="2:16" ht="63" customHeight="1" x14ac:dyDescent="0.2">
      <c r="B5" s="942" t="s">
        <v>368</v>
      </c>
      <c r="C5" s="942" t="s">
        <v>287</v>
      </c>
      <c r="D5" s="945" t="s">
        <v>1504</v>
      </c>
      <c r="E5" s="946"/>
      <c r="F5" s="947"/>
      <c r="G5" s="945" t="s">
        <v>1501</v>
      </c>
      <c r="H5" s="946"/>
      <c r="I5" s="947"/>
      <c r="J5" s="945" t="s">
        <v>1502</v>
      </c>
      <c r="K5" s="946"/>
      <c r="L5" s="947"/>
      <c r="M5" s="945" t="s">
        <v>1503</v>
      </c>
      <c r="N5" s="946"/>
      <c r="O5" s="947"/>
      <c r="P5" s="942" t="s">
        <v>284</v>
      </c>
    </row>
    <row r="6" spans="2:16" ht="15" customHeight="1" x14ac:dyDescent="0.2">
      <c r="B6" s="943"/>
      <c r="C6" s="943"/>
      <c r="D6" s="508" t="s">
        <v>162</v>
      </c>
      <c r="E6" s="508" t="s">
        <v>285</v>
      </c>
      <c r="F6" s="508" t="s">
        <v>164</v>
      </c>
      <c r="G6" s="508" t="s">
        <v>162</v>
      </c>
      <c r="H6" s="508" t="s">
        <v>285</v>
      </c>
      <c r="I6" s="508" t="s">
        <v>164</v>
      </c>
      <c r="J6" s="508" t="s">
        <v>162</v>
      </c>
      <c r="K6" s="508" t="s">
        <v>285</v>
      </c>
      <c r="L6" s="508" t="s">
        <v>164</v>
      </c>
      <c r="M6" s="508" t="s">
        <v>162</v>
      </c>
      <c r="N6" s="508" t="s">
        <v>285</v>
      </c>
      <c r="O6" s="508" t="s">
        <v>164</v>
      </c>
      <c r="P6" s="943"/>
    </row>
    <row r="7" spans="2:16" x14ac:dyDescent="0.2">
      <c r="B7" s="230">
        <v>1</v>
      </c>
      <c r="C7" s="280" t="s">
        <v>241</v>
      </c>
      <c r="D7" s="230">
        <v>2</v>
      </c>
      <c r="E7" s="281">
        <v>33250</v>
      </c>
      <c r="F7" s="281">
        <f>+E7*D7</f>
        <v>66500</v>
      </c>
      <c r="G7" s="563">
        <v>2</v>
      </c>
      <c r="H7" s="281">
        <v>100000</v>
      </c>
      <c r="I7" s="281">
        <f>+H7*G7</f>
        <v>200000</v>
      </c>
      <c r="J7" s="563">
        <v>2</v>
      </c>
      <c r="K7" s="281">
        <v>110000</v>
      </c>
      <c r="L7" s="281">
        <f>+K7*J7</f>
        <v>220000</v>
      </c>
      <c r="M7" s="563">
        <v>4</v>
      </c>
      <c r="N7" s="281">
        <v>100000</v>
      </c>
      <c r="O7" s="559">
        <f>+N7*M7</f>
        <v>400000</v>
      </c>
      <c r="P7" s="281">
        <f>+O7+L7+I7+F7</f>
        <v>886500</v>
      </c>
    </row>
    <row r="8" spans="2:16" x14ac:dyDescent="0.2">
      <c r="B8" s="230">
        <v>2</v>
      </c>
      <c r="C8" s="280" t="s">
        <v>242</v>
      </c>
      <c r="D8" s="230">
        <v>10</v>
      </c>
      <c r="E8" s="281">
        <v>33250</v>
      </c>
      <c r="F8" s="281">
        <f t="shared" ref="F8:F45" si="0">+E8*D8</f>
        <v>332500</v>
      </c>
      <c r="G8" s="563">
        <v>12</v>
      </c>
      <c r="H8" s="281">
        <v>95000</v>
      </c>
      <c r="I8" s="281">
        <f t="shared" ref="I8:I45" si="1">+H8*G8</f>
        <v>1140000</v>
      </c>
      <c r="J8" s="563">
        <v>2</v>
      </c>
      <c r="K8" s="281">
        <v>100000</v>
      </c>
      <c r="L8" s="281">
        <f t="shared" ref="L8:L45" si="2">+K8*J8</f>
        <v>200000</v>
      </c>
      <c r="M8" s="563">
        <v>12</v>
      </c>
      <c r="N8" s="281">
        <v>100000</v>
      </c>
      <c r="O8" s="559">
        <f t="shared" ref="O8:O45" si="3">+N8*M8</f>
        <v>1200000</v>
      </c>
      <c r="P8" s="281">
        <f t="shared" ref="P8:P46" si="4">+O8+L8+I8+F8</f>
        <v>2872500</v>
      </c>
    </row>
    <row r="9" spans="2:16" x14ac:dyDescent="0.2">
      <c r="B9" s="230">
        <v>3</v>
      </c>
      <c r="C9" s="280" t="s">
        <v>1605</v>
      </c>
      <c r="D9" s="230">
        <v>2</v>
      </c>
      <c r="E9" s="281">
        <v>33250</v>
      </c>
      <c r="F9" s="281">
        <v>66500</v>
      </c>
      <c r="G9" s="563">
        <v>2</v>
      </c>
      <c r="H9" s="281">
        <v>95000</v>
      </c>
      <c r="I9" s="281">
        <v>190000</v>
      </c>
      <c r="J9" s="563">
        <v>2</v>
      </c>
      <c r="K9" s="281">
        <v>100000</v>
      </c>
      <c r="L9" s="281">
        <v>200000</v>
      </c>
      <c r="M9" s="563">
        <v>6</v>
      </c>
      <c r="N9" s="281">
        <v>100000</v>
      </c>
      <c r="O9" s="559">
        <v>600000</v>
      </c>
      <c r="P9" s="281">
        <f t="shared" si="4"/>
        <v>1056500</v>
      </c>
    </row>
    <row r="10" spans="2:16" x14ac:dyDescent="0.2">
      <c r="B10" s="230">
        <v>4</v>
      </c>
      <c r="C10" s="280" t="s">
        <v>244</v>
      </c>
      <c r="D10" s="230">
        <v>2</v>
      </c>
      <c r="E10" s="281">
        <v>33250</v>
      </c>
      <c r="F10" s="281">
        <f t="shared" si="0"/>
        <v>66500</v>
      </c>
      <c r="G10" s="563">
        <v>2</v>
      </c>
      <c r="H10" s="281">
        <v>95000</v>
      </c>
      <c r="I10" s="281">
        <f t="shared" si="1"/>
        <v>190000</v>
      </c>
      <c r="J10" s="230">
        <v>2</v>
      </c>
      <c r="K10" s="281">
        <v>100000</v>
      </c>
      <c r="L10" s="281">
        <f t="shared" si="2"/>
        <v>200000</v>
      </c>
      <c r="M10" s="563">
        <v>6</v>
      </c>
      <c r="N10" s="281">
        <v>100000</v>
      </c>
      <c r="O10" s="559">
        <f t="shared" si="3"/>
        <v>600000</v>
      </c>
      <c r="P10" s="281">
        <f t="shared" si="4"/>
        <v>1056500</v>
      </c>
    </row>
    <row r="11" spans="2:16" x14ac:dyDescent="0.2">
      <c r="B11" s="230">
        <v>5</v>
      </c>
      <c r="C11" s="280" t="s">
        <v>245</v>
      </c>
      <c r="D11" s="230">
        <v>2</v>
      </c>
      <c r="E11" s="281">
        <v>33250</v>
      </c>
      <c r="F11" s="281">
        <f t="shared" si="0"/>
        <v>66500</v>
      </c>
      <c r="G11" s="563">
        <v>2</v>
      </c>
      <c r="H11" s="281">
        <v>95000</v>
      </c>
      <c r="I11" s="281">
        <f t="shared" si="1"/>
        <v>190000</v>
      </c>
      <c r="J11" s="230">
        <v>2</v>
      </c>
      <c r="K11" s="281">
        <v>100000</v>
      </c>
      <c r="L11" s="281">
        <f t="shared" si="2"/>
        <v>200000</v>
      </c>
      <c r="M11" s="563">
        <v>2</v>
      </c>
      <c r="N11" s="281">
        <v>100000</v>
      </c>
      <c r="O11" s="559">
        <f t="shared" si="3"/>
        <v>200000</v>
      </c>
      <c r="P11" s="281">
        <f t="shared" si="4"/>
        <v>656500</v>
      </c>
    </row>
    <row r="12" spans="2:16" x14ac:dyDescent="0.2">
      <c r="B12" s="230">
        <v>6</v>
      </c>
      <c r="C12" s="280" t="s">
        <v>246</v>
      </c>
      <c r="D12" s="230">
        <v>2</v>
      </c>
      <c r="E12" s="281">
        <v>33250</v>
      </c>
      <c r="F12" s="281">
        <f t="shared" si="0"/>
        <v>66500</v>
      </c>
      <c r="G12" s="563">
        <v>4</v>
      </c>
      <c r="H12" s="281">
        <v>95000</v>
      </c>
      <c r="I12" s="281">
        <f t="shared" si="1"/>
        <v>380000</v>
      </c>
      <c r="J12" s="563">
        <v>2</v>
      </c>
      <c r="K12" s="281">
        <v>100000</v>
      </c>
      <c r="L12" s="281">
        <f t="shared" si="2"/>
        <v>200000</v>
      </c>
      <c r="M12" s="563">
        <v>6</v>
      </c>
      <c r="N12" s="281">
        <v>100000</v>
      </c>
      <c r="O12" s="559">
        <f t="shared" si="3"/>
        <v>600000</v>
      </c>
      <c r="P12" s="281">
        <f t="shared" si="4"/>
        <v>1246500</v>
      </c>
    </row>
    <row r="13" spans="2:16" x14ac:dyDescent="0.2">
      <c r="B13" s="230">
        <v>7</v>
      </c>
      <c r="C13" s="280" t="s">
        <v>248</v>
      </c>
      <c r="D13" s="230">
        <v>2</v>
      </c>
      <c r="E13" s="281">
        <v>33250</v>
      </c>
      <c r="F13" s="281">
        <f t="shared" si="0"/>
        <v>66500</v>
      </c>
      <c r="G13" s="563">
        <v>2</v>
      </c>
      <c r="H13" s="281">
        <v>95000</v>
      </c>
      <c r="I13" s="281">
        <f t="shared" si="1"/>
        <v>190000</v>
      </c>
      <c r="J13" s="230">
        <v>2</v>
      </c>
      <c r="K13" s="281">
        <v>100000</v>
      </c>
      <c r="L13" s="281">
        <f t="shared" si="2"/>
        <v>200000</v>
      </c>
      <c r="M13" s="563">
        <v>4</v>
      </c>
      <c r="N13" s="281">
        <v>100000</v>
      </c>
      <c r="O13" s="559">
        <f t="shared" si="3"/>
        <v>400000</v>
      </c>
      <c r="P13" s="281">
        <f t="shared" si="4"/>
        <v>856500</v>
      </c>
    </row>
    <row r="14" spans="2:16" x14ac:dyDescent="0.2">
      <c r="B14" s="230">
        <v>8</v>
      </c>
      <c r="C14" s="280" t="s">
        <v>526</v>
      </c>
      <c r="D14" s="230">
        <v>2</v>
      </c>
      <c r="E14" s="281">
        <v>33250</v>
      </c>
      <c r="F14" s="281">
        <f t="shared" si="0"/>
        <v>66500</v>
      </c>
      <c r="G14" s="563">
        <v>2</v>
      </c>
      <c r="H14" s="281">
        <v>95000</v>
      </c>
      <c r="I14" s="281">
        <f t="shared" si="1"/>
        <v>190000</v>
      </c>
      <c r="J14" s="230">
        <v>2</v>
      </c>
      <c r="K14" s="281">
        <v>100000</v>
      </c>
      <c r="L14" s="281">
        <f t="shared" si="2"/>
        <v>200000</v>
      </c>
      <c r="M14" s="563">
        <v>6</v>
      </c>
      <c r="N14" s="281">
        <v>100000</v>
      </c>
      <c r="O14" s="559">
        <f t="shared" si="3"/>
        <v>600000</v>
      </c>
      <c r="P14" s="281">
        <f t="shared" si="4"/>
        <v>1056500</v>
      </c>
    </row>
    <row r="15" spans="2:16" x14ac:dyDescent="0.2">
      <c r="B15" s="230">
        <v>9</v>
      </c>
      <c r="C15" s="280" t="s">
        <v>249</v>
      </c>
      <c r="D15" s="230">
        <v>2</v>
      </c>
      <c r="E15" s="281">
        <v>33250</v>
      </c>
      <c r="F15" s="281">
        <f t="shared" si="0"/>
        <v>66500</v>
      </c>
      <c r="G15" s="563">
        <v>2</v>
      </c>
      <c r="H15" s="281">
        <v>95000</v>
      </c>
      <c r="I15" s="281">
        <f t="shared" si="1"/>
        <v>190000</v>
      </c>
      <c r="J15" s="230"/>
      <c r="K15" s="281">
        <v>100000</v>
      </c>
      <c r="L15" s="281">
        <f t="shared" si="2"/>
        <v>0</v>
      </c>
      <c r="M15" s="563">
        <v>6</v>
      </c>
      <c r="N15" s="281">
        <v>100000</v>
      </c>
      <c r="O15" s="559">
        <f t="shared" si="3"/>
        <v>600000</v>
      </c>
      <c r="P15" s="281">
        <f t="shared" si="4"/>
        <v>856500</v>
      </c>
    </row>
    <row r="16" spans="2:16" x14ac:dyDescent="0.2">
      <c r="B16" s="230">
        <v>10</v>
      </c>
      <c r="C16" s="280" t="s">
        <v>250</v>
      </c>
      <c r="D16" s="230">
        <v>2</v>
      </c>
      <c r="E16" s="281">
        <v>33250</v>
      </c>
      <c r="F16" s="281">
        <f t="shared" si="0"/>
        <v>66500</v>
      </c>
      <c r="G16" s="563">
        <v>2</v>
      </c>
      <c r="H16" s="281">
        <v>95000</v>
      </c>
      <c r="I16" s="281">
        <f t="shared" si="1"/>
        <v>190000</v>
      </c>
      <c r="J16" s="563">
        <v>2</v>
      </c>
      <c r="K16" s="281">
        <v>100000</v>
      </c>
      <c r="L16" s="281">
        <f t="shared" si="2"/>
        <v>200000</v>
      </c>
      <c r="M16" s="563">
        <v>6</v>
      </c>
      <c r="N16" s="281">
        <v>100000</v>
      </c>
      <c r="O16" s="559">
        <f t="shared" si="3"/>
        <v>600000</v>
      </c>
      <c r="P16" s="281">
        <f t="shared" si="4"/>
        <v>1056500</v>
      </c>
    </row>
    <row r="17" spans="2:16" x14ac:dyDescent="0.2">
      <c r="B17" s="230">
        <v>11</v>
      </c>
      <c r="C17" s="280" t="s">
        <v>251</v>
      </c>
      <c r="D17" s="230">
        <v>2</v>
      </c>
      <c r="E17" s="281">
        <v>33250</v>
      </c>
      <c r="F17" s="281">
        <f t="shared" si="0"/>
        <v>66500</v>
      </c>
      <c r="G17" s="563">
        <v>4</v>
      </c>
      <c r="H17" s="281">
        <v>95000</v>
      </c>
      <c r="I17" s="281">
        <f t="shared" si="1"/>
        <v>380000</v>
      </c>
      <c r="J17" s="563">
        <v>2</v>
      </c>
      <c r="K17" s="281">
        <v>100000</v>
      </c>
      <c r="L17" s="281">
        <f t="shared" si="2"/>
        <v>200000</v>
      </c>
      <c r="M17" s="563">
        <v>6</v>
      </c>
      <c r="N17" s="281">
        <v>100000</v>
      </c>
      <c r="O17" s="559">
        <f t="shared" si="3"/>
        <v>600000</v>
      </c>
      <c r="P17" s="281">
        <f t="shared" si="4"/>
        <v>1246500</v>
      </c>
    </row>
    <row r="18" spans="2:16" x14ac:dyDescent="0.2">
      <c r="B18" s="230">
        <v>12</v>
      </c>
      <c r="C18" s="280" t="s">
        <v>252</v>
      </c>
      <c r="D18" s="230">
        <v>2</v>
      </c>
      <c r="E18" s="281">
        <v>33250</v>
      </c>
      <c r="F18" s="281">
        <f t="shared" si="0"/>
        <v>66500</v>
      </c>
      <c r="G18" s="563">
        <v>4</v>
      </c>
      <c r="H18" s="281">
        <v>95000</v>
      </c>
      <c r="I18" s="281">
        <f t="shared" si="1"/>
        <v>380000</v>
      </c>
      <c r="J18" s="563">
        <v>4</v>
      </c>
      <c r="K18" s="281">
        <v>100000</v>
      </c>
      <c r="L18" s="281">
        <f t="shared" si="2"/>
        <v>400000</v>
      </c>
      <c r="M18" s="563">
        <v>6</v>
      </c>
      <c r="N18" s="281">
        <v>100000</v>
      </c>
      <c r="O18" s="559">
        <f t="shared" si="3"/>
        <v>600000</v>
      </c>
      <c r="P18" s="281">
        <f t="shared" si="4"/>
        <v>1446500</v>
      </c>
    </row>
    <row r="19" spans="2:16" x14ac:dyDescent="0.2">
      <c r="B19" s="230">
        <v>13</v>
      </c>
      <c r="C19" s="280" t="s">
        <v>253</v>
      </c>
      <c r="D19" s="230">
        <v>2</v>
      </c>
      <c r="E19" s="281">
        <v>33250</v>
      </c>
      <c r="F19" s="281">
        <f t="shared" si="0"/>
        <v>66500</v>
      </c>
      <c r="G19" s="563">
        <v>2</v>
      </c>
      <c r="H19" s="281">
        <v>95000</v>
      </c>
      <c r="I19" s="281">
        <f t="shared" si="1"/>
        <v>190000</v>
      </c>
      <c r="J19" s="230">
        <v>2</v>
      </c>
      <c r="K19" s="281">
        <v>100000</v>
      </c>
      <c r="L19" s="281">
        <f t="shared" si="2"/>
        <v>200000</v>
      </c>
      <c r="M19" s="563">
        <v>6</v>
      </c>
      <c r="N19" s="281">
        <v>100000</v>
      </c>
      <c r="O19" s="559">
        <f t="shared" si="3"/>
        <v>600000</v>
      </c>
      <c r="P19" s="281">
        <f t="shared" si="4"/>
        <v>1056500</v>
      </c>
    </row>
    <row r="20" spans="2:16" x14ac:dyDescent="0.2">
      <c r="B20" s="230">
        <v>14</v>
      </c>
      <c r="C20" s="280" t="s">
        <v>531</v>
      </c>
      <c r="D20" s="230">
        <v>2</v>
      </c>
      <c r="E20" s="281">
        <v>33250</v>
      </c>
      <c r="F20" s="281">
        <f t="shared" si="0"/>
        <v>66500</v>
      </c>
      <c r="G20" s="563">
        <v>2</v>
      </c>
      <c r="H20" s="281">
        <v>95000</v>
      </c>
      <c r="I20" s="281">
        <f t="shared" si="1"/>
        <v>190000</v>
      </c>
      <c r="J20" s="563">
        <v>2</v>
      </c>
      <c r="K20" s="281">
        <v>100000</v>
      </c>
      <c r="L20" s="281">
        <f t="shared" si="2"/>
        <v>200000</v>
      </c>
      <c r="M20" s="563">
        <v>6</v>
      </c>
      <c r="N20" s="281">
        <v>100000</v>
      </c>
      <c r="O20" s="559">
        <f t="shared" si="3"/>
        <v>600000</v>
      </c>
      <c r="P20" s="281">
        <f t="shared" si="4"/>
        <v>1056500</v>
      </c>
    </row>
    <row r="21" spans="2:16" x14ac:dyDescent="0.2">
      <c r="B21" s="230">
        <v>15</v>
      </c>
      <c r="C21" s="280" t="s">
        <v>255</v>
      </c>
      <c r="D21" s="230">
        <v>2</v>
      </c>
      <c r="E21" s="281">
        <v>33250</v>
      </c>
      <c r="F21" s="281">
        <f t="shared" si="0"/>
        <v>66500</v>
      </c>
      <c r="G21" s="563">
        <v>2</v>
      </c>
      <c r="H21" s="281">
        <v>95000</v>
      </c>
      <c r="I21" s="281">
        <f t="shared" si="1"/>
        <v>190000</v>
      </c>
      <c r="J21" s="230">
        <v>2</v>
      </c>
      <c r="K21" s="281">
        <v>100000</v>
      </c>
      <c r="L21" s="281">
        <f t="shared" si="2"/>
        <v>200000</v>
      </c>
      <c r="M21" s="563">
        <v>6</v>
      </c>
      <c r="N21" s="281">
        <v>100000</v>
      </c>
      <c r="O21" s="559">
        <f t="shared" si="3"/>
        <v>600000</v>
      </c>
      <c r="P21" s="281">
        <f t="shared" si="4"/>
        <v>1056500</v>
      </c>
    </row>
    <row r="22" spans="2:16" x14ac:dyDescent="0.2">
      <c r="B22" s="230">
        <v>16</v>
      </c>
      <c r="C22" s="280" t="s">
        <v>256</v>
      </c>
      <c r="D22" s="230">
        <v>2</v>
      </c>
      <c r="E22" s="281">
        <v>33250</v>
      </c>
      <c r="F22" s="281">
        <f t="shared" si="0"/>
        <v>66500</v>
      </c>
      <c r="G22" s="563">
        <v>2</v>
      </c>
      <c r="H22" s="281">
        <v>95000</v>
      </c>
      <c r="I22" s="281">
        <f t="shared" si="1"/>
        <v>190000</v>
      </c>
      <c r="J22" s="230">
        <v>2</v>
      </c>
      <c r="K22" s="281">
        <v>100000</v>
      </c>
      <c r="L22" s="281">
        <f t="shared" si="2"/>
        <v>200000</v>
      </c>
      <c r="M22" s="563">
        <v>2</v>
      </c>
      <c r="N22" s="281">
        <v>100000</v>
      </c>
      <c r="O22" s="559">
        <f t="shared" si="3"/>
        <v>200000</v>
      </c>
      <c r="P22" s="281">
        <f t="shared" si="4"/>
        <v>656500</v>
      </c>
    </row>
    <row r="23" spans="2:16" x14ac:dyDescent="0.2">
      <c r="B23" s="230">
        <v>17</v>
      </c>
      <c r="C23" s="280" t="s">
        <v>257</v>
      </c>
      <c r="D23" s="230">
        <v>2</v>
      </c>
      <c r="E23" s="281">
        <v>33250</v>
      </c>
      <c r="F23" s="281">
        <f t="shared" si="0"/>
        <v>66500</v>
      </c>
      <c r="G23" s="563">
        <v>2</v>
      </c>
      <c r="H23" s="281">
        <v>95000</v>
      </c>
      <c r="I23" s="281">
        <f t="shared" si="1"/>
        <v>190000</v>
      </c>
      <c r="J23" s="230">
        <v>2</v>
      </c>
      <c r="K23" s="281">
        <v>100000</v>
      </c>
      <c r="L23" s="281">
        <f t="shared" si="2"/>
        <v>200000</v>
      </c>
      <c r="M23" s="563">
        <v>4</v>
      </c>
      <c r="N23" s="281">
        <v>100000</v>
      </c>
      <c r="O23" s="559">
        <f t="shared" si="3"/>
        <v>400000</v>
      </c>
      <c r="P23" s="281">
        <f t="shared" si="4"/>
        <v>856500</v>
      </c>
    </row>
    <row r="24" spans="2:16" x14ac:dyDescent="0.2">
      <c r="B24" s="230">
        <v>18</v>
      </c>
      <c r="C24" s="280" t="s">
        <v>258</v>
      </c>
      <c r="D24" s="230">
        <v>2</v>
      </c>
      <c r="E24" s="281">
        <v>33250</v>
      </c>
      <c r="F24" s="281">
        <f t="shared" si="0"/>
        <v>66500</v>
      </c>
      <c r="G24" s="563">
        <v>2</v>
      </c>
      <c r="H24" s="281">
        <v>95000</v>
      </c>
      <c r="I24" s="281">
        <f t="shared" si="1"/>
        <v>190000</v>
      </c>
      <c r="J24" s="230">
        <v>2</v>
      </c>
      <c r="K24" s="281">
        <v>100000</v>
      </c>
      <c r="L24" s="281">
        <f t="shared" si="2"/>
        <v>200000</v>
      </c>
      <c r="M24" s="563">
        <v>6</v>
      </c>
      <c r="N24" s="281">
        <v>100000</v>
      </c>
      <c r="O24" s="559">
        <f t="shared" si="3"/>
        <v>600000</v>
      </c>
      <c r="P24" s="281">
        <f t="shared" si="4"/>
        <v>1056500</v>
      </c>
    </row>
    <row r="25" spans="2:16" x14ac:dyDescent="0.2">
      <c r="B25" s="230">
        <v>19</v>
      </c>
      <c r="C25" s="280" t="s">
        <v>259</v>
      </c>
      <c r="D25" s="230">
        <v>10</v>
      </c>
      <c r="E25" s="281">
        <v>33250</v>
      </c>
      <c r="F25" s="281">
        <f t="shared" si="0"/>
        <v>332500</v>
      </c>
      <c r="G25" s="563">
        <v>12</v>
      </c>
      <c r="H25" s="281">
        <v>95000</v>
      </c>
      <c r="I25" s="281">
        <f t="shared" si="1"/>
        <v>1140000</v>
      </c>
      <c r="J25" s="563">
        <v>2</v>
      </c>
      <c r="K25" s="281">
        <v>100000</v>
      </c>
      <c r="L25" s="281">
        <f t="shared" si="2"/>
        <v>200000</v>
      </c>
      <c r="M25" s="563">
        <v>12</v>
      </c>
      <c r="N25" s="281">
        <v>100000</v>
      </c>
      <c r="O25" s="559">
        <f t="shared" si="3"/>
        <v>1200000</v>
      </c>
      <c r="P25" s="281">
        <f t="shared" si="4"/>
        <v>2872500</v>
      </c>
    </row>
    <row r="26" spans="2:16" x14ac:dyDescent="0.2">
      <c r="B26" s="230">
        <v>20</v>
      </c>
      <c r="C26" s="280" t="s">
        <v>532</v>
      </c>
      <c r="D26" s="230">
        <v>2</v>
      </c>
      <c r="E26" s="281">
        <v>33250</v>
      </c>
      <c r="F26" s="281">
        <f t="shared" si="0"/>
        <v>66500</v>
      </c>
      <c r="G26" s="563">
        <v>2</v>
      </c>
      <c r="H26" s="281">
        <v>95000</v>
      </c>
      <c r="I26" s="281">
        <f t="shared" si="1"/>
        <v>190000</v>
      </c>
      <c r="J26" s="230">
        <v>2</v>
      </c>
      <c r="K26" s="281">
        <v>100000</v>
      </c>
      <c r="L26" s="281">
        <f t="shared" si="2"/>
        <v>200000</v>
      </c>
      <c r="M26" s="563">
        <v>6</v>
      </c>
      <c r="N26" s="281">
        <v>100000</v>
      </c>
      <c r="O26" s="559">
        <f t="shared" si="3"/>
        <v>600000</v>
      </c>
      <c r="P26" s="281">
        <f t="shared" si="4"/>
        <v>1056500</v>
      </c>
    </row>
    <row r="27" spans="2:16" x14ac:dyDescent="0.2">
      <c r="B27" s="230">
        <v>21</v>
      </c>
      <c r="C27" s="280" t="s">
        <v>261</v>
      </c>
      <c r="D27" s="230">
        <v>2</v>
      </c>
      <c r="E27" s="281">
        <v>33250</v>
      </c>
      <c r="F27" s="281">
        <f t="shared" si="0"/>
        <v>66500</v>
      </c>
      <c r="G27" s="563">
        <v>2</v>
      </c>
      <c r="H27" s="281">
        <v>95000</v>
      </c>
      <c r="I27" s="281">
        <f t="shared" si="1"/>
        <v>190000</v>
      </c>
      <c r="J27" s="230">
        <v>2</v>
      </c>
      <c r="K27" s="281">
        <v>100000</v>
      </c>
      <c r="L27" s="281">
        <f t="shared" si="2"/>
        <v>200000</v>
      </c>
      <c r="M27" s="563">
        <v>6</v>
      </c>
      <c r="N27" s="281">
        <v>100000</v>
      </c>
      <c r="O27" s="559">
        <f t="shared" si="3"/>
        <v>600000</v>
      </c>
      <c r="P27" s="281">
        <f t="shared" si="4"/>
        <v>1056500</v>
      </c>
    </row>
    <row r="28" spans="2:16" x14ac:dyDescent="0.2">
      <c r="B28" s="230">
        <v>22</v>
      </c>
      <c r="C28" s="280" t="s">
        <v>262</v>
      </c>
      <c r="D28" s="230">
        <v>2</v>
      </c>
      <c r="E28" s="281">
        <v>33250</v>
      </c>
      <c r="F28" s="281">
        <f t="shared" si="0"/>
        <v>66500</v>
      </c>
      <c r="G28" s="563">
        <v>2</v>
      </c>
      <c r="H28" s="281">
        <v>95000</v>
      </c>
      <c r="I28" s="281">
        <f t="shared" si="1"/>
        <v>190000</v>
      </c>
      <c r="J28" s="563">
        <v>2</v>
      </c>
      <c r="K28" s="281">
        <v>100000</v>
      </c>
      <c r="L28" s="281">
        <f t="shared" si="2"/>
        <v>200000</v>
      </c>
      <c r="M28" s="563">
        <v>6</v>
      </c>
      <c r="N28" s="281">
        <v>100000</v>
      </c>
      <c r="O28" s="559">
        <f t="shared" si="3"/>
        <v>600000</v>
      </c>
      <c r="P28" s="281">
        <f t="shared" si="4"/>
        <v>1056500</v>
      </c>
    </row>
    <row r="29" spans="2:16" x14ac:dyDescent="0.2">
      <c r="B29" s="230">
        <v>23</v>
      </c>
      <c r="C29" s="280" t="s">
        <v>263</v>
      </c>
      <c r="D29" s="230">
        <v>2</v>
      </c>
      <c r="E29" s="281">
        <v>33250</v>
      </c>
      <c r="F29" s="281">
        <f t="shared" si="0"/>
        <v>66500</v>
      </c>
      <c r="G29" s="563">
        <v>2</v>
      </c>
      <c r="H29" s="281">
        <v>95000</v>
      </c>
      <c r="I29" s="281">
        <f t="shared" si="1"/>
        <v>190000</v>
      </c>
      <c r="J29" s="230">
        <v>2</v>
      </c>
      <c r="K29" s="281">
        <v>100000</v>
      </c>
      <c r="L29" s="281">
        <f t="shared" si="2"/>
        <v>200000</v>
      </c>
      <c r="M29" s="563">
        <v>2</v>
      </c>
      <c r="N29" s="281">
        <v>100000</v>
      </c>
      <c r="O29" s="559">
        <f t="shared" si="3"/>
        <v>200000</v>
      </c>
      <c r="P29" s="281">
        <f t="shared" si="4"/>
        <v>656500</v>
      </c>
    </row>
    <row r="30" spans="2:16" x14ac:dyDescent="0.2">
      <c r="B30" s="230">
        <v>24</v>
      </c>
      <c r="C30" s="280" t="s">
        <v>264</v>
      </c>
      <c r="D30" s="230">
        <v>2</v>
      </c>
      <c r="E30" s="281">
        <v>33250</v>
      </c>
      <c r="F30" s="281">
        <f t="shared" si="0"/>
        <v>66500</v>
      </c>
      <c r="G30" s="563">
        <v>2</v>
      </c>
      <c r="H30" s="281">
        <v>95000</v>
      </c>
      <c r="I30" s="281">
        <f t="shared" si="1"/>
        <v>190000</v>
      </c>
      <c r="J30" s="563">
        <v>2</v>
      </c>
      <c r="K30" s="281">
        <v>100000</v>
      </c>
      <c r="L30" s="281">
        <f t="shared" si="2"/>
        <v>200000</v>
      </c>
      <c r="M30" s="563">
        <v>6</v>
      </c>
      <c r="N30" s="281">
        <v>100000</v>
      </c>
      <c r="O30" s="559">
        <f t="shared" si="3"/>
        <v>600000</v>
      </c>
      <c r="P30" s="281">
        <f t="shared" si="4"/>
        <v>1056500</v>
      </c>
    </row>
    <row r="31" spans="2:16" x14ac:dyDescent="0.2">
      <c r="B31" s="230">
        <v>25</v>
      </c>
      <c r="C31" s="280" t="s">
        <v>265</v>
      </c>
      <c r="D31" s="230">
        <v>10</v>
      </c>
      <c r="E31" s="281">
        <v>33250</v>
      </c>
      <c r="F31" s="281">
        <f t="shared" si="0"/>
        <v>332500</v>
      </c>
      <c r="G31" s="563">
        <v>12</v>
      </c>
      <c r="H31" s="281">
        <v>95000</v>
      </c>
      <c r="I31" s="281">
        <f t="shared" si="1"/>
        <v>1140000</v>
      </c>
      <c r="J31" s="230"/>
      <c r="K31" s="281">
        <v>100000</v>
      </c>
      <c r="L31" s="281">
        <f t="shared" si="2"/>
        <v>0</v>
      </c>
      <c r="M31" s="563">
        <v>12</v>
      </c>
      <c r="N31" s="281">
        <v>100000</v>
      </c>
      <c r="O31" s="559">
        <f t="shared" si="3"/>
        <v>1200000</v>
      </c>
      <c r="P31" s="281">
        <f t="shared" si="4"/>
        <v>2672500</v>
      </c>
    </row>
    <row r="32" spans="2:16" x14ac:dyDescent="0.2">
      <c r="B32" s="230">
        <v>26</v>
      </c>
      <c r="C32" s="280" t="s">
        <v>266</v>
      </c>
      <c r="D32" s="230">
        <v>2</v>
      </c>
      <c r="E32" s="281">
        <v>33250</v>
      </c>
      <c r="F32" s="281">
        <f t="shared" si="0"/>
        <v>66500</v>
      </c>
      <c r="G32" s="563">
        <v>2</v>
      </c>
      <c r="H32" s="281">
        <v>95000</v>
      </c>
      <c r="I32" s="281">
        <f t="shared" si="1"/>
        <v>190000</v>
      </c>
      <c r="J32" s="230">
        <v>2</v>
      </c>
      <c r="K32" s="281">
        <v>100000</v>
      </c>
      <c r="L32" s="281">
        <f t="shared" si="2"/>
        <v>200000</v>
      </c>
      <c r="M32" s="563">
        <v>6</v>
      </c>
      <c r="N32" s="281">
        <v>100000</v>
      </c>
      <c r="O32" s="559">
        <f t="shared" si="3"/>
        <v>600000</v>
      </c>
      <c r="P32" s="281">
        <f t="shared" si="4"/>
        <v>1056500</v>
      </c>
    </row>
    <row r="33" spans="2:16" x14ac:dyDescent="0.2">
      <c r="B33" s="230">
        <v>27</v>
      </c>
      <c r="C33" s="280" t="s">
        <v>267</v>
      </c>
      <c r="D33" s="230">
        <v>2</v>
      </c>
      <c r="E33" s="281">
        <v>33250</v>
      </c>
      <c r="F33" s="281">
        <f t="shared" si="0"/>
        <v>66500</v>
      </c>
      <c r="G33" s="563">
        <v>2</v>
      </c>
      <c r="H33" s="281">
        <v>95000</v>
      </c>
      <c r="I33" s="281">
        <f t="shared" si="1"/>
        <v>190000</v>
      </c>
      <c r="J33" s="230">
        <v>2</v>
      </c>
      <c r="K33" s="281">
        <v>100000</v>
      </c>
      <c r="L33" s="281">
        <f t="shared" si="2"/>
        <v>200000</v>
      </c>
      <c r="M33" s="563">
        <v>6</v>
      </c>
      <c r="N33" s="281">
        <v>100000</v>
      </c>
      <c r="O33" s="559">
        <f t="shared" si="3"/>
        <v>600000</v>
      </c>
      <c r="P33" s="281">
        <f t="shared" si="4"/>
        <v>1056500</v>
      </c>
    </row>
    <row r="34" spans="2:16" x14ac:dyDescent="0.2">
      <c r="B34" s="230">
        <v>28</v>
      </c>
      <c r="C34" s="280" t="s">
        <v>268</v>
      </c>
      <c r="D34" s="230">
        <v>2</v>
      </c>
      <c r="E34" s="281">
        <v>33250</v>
      </c>
      <c r="F34" s="281">
        <f t="shared" si="0"/>
        <v>66500</v>
      </c>
      <c r="G34" s="563">
        <v>4</v>
      </c>
      <c r="H34" s="281">
        <v>95000</v>
      </c>
      <c r="I34" s="281">
        <f t="shared" si="1"/>
        <v>380000</v>
      </c>
      <c r="J34" s="563">
        <v>2</v>
      </c>
      <c r="K34" s="281">
        <v>100000</v>
      </c>
      <c r="L34" s="281">
        <f t="shared" si="2"/>
        <v>200000</v>
      </c>
      <c r="M34" s="563">
        <v>6</v>
      </c>
      <c r="N34" s="281">
        <v>100000</v>
      </c>
      <c r="O34" s="559">
        <f t="shared" si="3"/>
        <v>600000</v>
      </c>
      <c r="P34" s="281">
        <f t="shared" si="4"/>
        <v>1246500</v>
      </c>
    </row>
    <row r="35" spans="2:16" x14ac:dyDescent="0.2">
      <c r="B35" s="230">
        <v>29</v>
      </c>
      <c r="C35" s="280" t="s">
        <v>269</v>
      </c>
      <c r="D35" s="230">
        <v>2</v>
      </c>
      <c r="E35" s="281">
        <v>33250</v>
      </c>
      <c r="F35" s="281">
        <f t="shared" si="0"/>
        <v>66500</v>
      </c>
      <c r="G35" s="563">
        <v>2</v>
      </c>
      <c r="H35" s="281">
        <v>95000</v>
      </c>
      <c r="I35" s="281">
        <f t="shared" si="1"/>
        <v>190000</v>
      </c>
      <c r="J35" s="230">
        <v>2</v>
      </c>
      <c r="K35" s="281">
        <v>100000</v>
      </c>
      <c r="L35" s="281">
        <f t="shared" si="2"/>
        <v>200000</v>
      </c>
      <c r="M35" s="563">
        <v>2</v>
      </c>
      <c r="N35" s="281">
        <v>100000</v>
      </c>
      <c r="O35" s="559">
        <f t="shared" si="3"/>
        <v>200000</v>
      </c>
      <c r="P35" s="281">
        <f t="shared" si="4"/>
        <v>656500</v>
      </c>
    </row>
    <row r="36" spans="2:16" x14ac:dyDescent="0.2">
      <c r="B36" s="230">
        <v>30</v>
      </c>
      <c r="C36" s="280" t="s">
        <v>270</v>
      </c>
      <c r="D36" s="230">
        <v>2</v>
      </c>
      <c r="E36" s="281">
        <v>33250</v>
      </c>
      <c r="F36" s="281">
        <f t="shared" si="0"/>
        <v>66500</v>
      </c>
      <c r="G36" s="563">
        <v>2</v>
      </c>
      <c r="H36" s="281">
        <v>95000</v>
      </c>
      <c r="I36" s="281">
        <f t="shared" si="1"/>
        <v>190000</v>
      </c>
      <c r="J36" s="563">
        <v>2</v>
      </c>
      <c r="K36" s="281">
        <v>100000</v>
      </c>
      <c r="L36" s="281">
        <f t="shared" si="2"/>
        <v>200000</v>
      </c>
      <c r="M36" s="563">
        <v>6</v>
      </c>
      <c r="N36" s="281">
        <v>100000</v>
      </c>
      <c r="O36" s="559">
        <f t="shared" si="3"/>
        <v>600000</v>
      </c>
      <c r="P36" s="281">
        <f t="shared" si="4"/>
        <v>1056500</v>
      </c>
    </row>
    <row r="37" spans="2:16" x14ac:dyDescent="0.2">
      <c r="B37" s="230">
        <v>31</v>
      </c>
      <c r="C37" s="280" t="s">
        <v>271</v>
      </c>
      <c r="D37" s="230">
        <v>2</v>
      </c>
      <c r="E37" s="281">
        <v>33250</v>
      </c>
      <c r="F37" s="281">
        <f t="shared" si="0"/>
        <v>66500</v>
      </c>
      <c r="G37" s="563">
        <v>4</v>
      </c>
      <c r="H37" s="281">
        <v>95000</v>
      </c>
      <c r="I37" s="281">
        <f t="shared" si="1"/>
        <v>380000</v>
      </c>
      <c r="J37" s="230">
        <v>2</v>
      </c>
      <c r="K37" s="281">
        <v>100000</v>
      </c>
      <c r="L37" s="281">
        <f t="shared" si="2"/>
        <v>200000</v>
      </c>
      <c r="M37" s="563">
        <v>6</v>
      </c>
      <c r="N37" s="281">
        <v>100000</v>
      </c>
      <c r="O37" s="559">
        <f t="shared" si="3"/>
        <v>600000</v>
      </c>
      <c r="P37" s="281">
        <f t="shared" si="4"/>
        <v>1246500</v>
      </c>
    </row>
    <row r="38" spans="2:16" x14ac:dyDescent="0.2">
      <c r="B38" s="230">
        <v>32</v>
      </c>
      <c r="C38" s="280" t="s">
        <v>272</v>
      </c>
      <c r="D38" s="230">
        <v>2</v>
      </c>
      <c r="E38" s="281">
        <v>33250</v>
      </c>
      <c r="F38" s="281">
        <f t="shared" si="0"/>
        <v>66500</v>
      </c>
      <c r="G38" s="563">
        <v>2</v>
      </c>
      <c r="H38" s="281">
        <v>95000</v>
      </c>
      <c r="I38" s="281">
        <f t="shared" si="1"/>
        <v>190000</v>
      </c>
      <c r="J38" s="230">
        <v>2</v>
      </c>
      <c r="K38" s="281">
        <v>100000</v>
      </c>
      <c r="L38" s="281">
        <f t="shared" si="2"/>
        <v>200000</v>
      </c>
      <c r="M38" s="563">
        <v>2</v>
      </c>
      <c r="N38" s="281">
        <v>100000</v>
      </c>
      <c r="O38" s="559">
        <f t="shared" si="3"/>
        <v>200000</v>
      </c>
      <c r="P38" s="281">
        <f t="shared" si="4"/>
        <v>656500</v>
      </c>
    </row>
    <row r="39" spans="2:16" x14ac:dyDescent="0.2">
      <c r="B39" s="230">
        <v>33</v>
      </c>
      <c r="C39" s="280" t="s">
        <v>273</v>
      </c>
      <c r="D39" s="230">
        <v>2</v>
      </c>
      <c r="E39" s="281">
        <v>33250</v>
      </c>
      <c r="F39" s="281">
        <f t="shared" si="0"/>
        <v>66500</v>
      </c>
      <c r="G39" s="563">
        <v>4</v>
      </c>
      <c r="H39" s="281">
        <v>95000</v>
      </c>
      <c r="I39" s="281">
        <f t="shared" si="1"/>
        <v>380000</v>
      </c>
      <c r="J39" s="563">
        <v>2</v>
      </c>
      <c r="K39" s="281">
        <v>100000</v>
      </c>
      <c r="L39" s="281">
        <f t="shared" si="2"/>
        <v>200000</v>
      </c>
      <c r="M39" s="563">
        <v>6</v>
      </c>
      <c r="N39" s="281">
        <v>100000</v>
      </c>
      <c r="O39" s="559">
        <f t="shared" si="3"/>
        <v>600000</v>
      </c>
      <c r="P39" s="281">
        <f t="shared" si="4"/>
        <v>1246500</v>
      </c>
    </row>
    <row r="40" spans="2:16" x14ac:dyDescent="0.2">
      <c r="B40" s="230">
        <v>34</v>
      </c>
      <c r="C40" s="280" t="s">
        <v>274</v>
      </c>
      <c r="D40" s="230">
        <v>2</v>
      </c>
      <c r="E40" s="281">
        <v>33250</v>
      </c>
      <c r="F40" s="281">
        <f t="shared" si="0"/>
        <v>66500</v>
      </c>
      <c r="G40" s="563">
        <v>2</v>
      </c>
      <c r="H40" s="281">
        <v>95000</v>
      </c>
      <c r="I40" s="281">
        <f t="shared" si="1"/>
        <v>190000</v>
      </c>
      <c r="J40" s="563">
        <v>2</v>
      </c>
      <c r="K40" s="281">
        <v>100000</v>
      </c>
      <c r="L40" s="281">
        <f t="shared" si="2"/>
        <v>200000</v>
      </c>
      <c r="M40" s="563">
        <v>6</v>
      </c>
      <c r="N40" s="281">
        <v>100000</v>
      </c>
      <c r="O40" s="559">
        <f t="shared" si="3"/>
        <v>600000</v>
      </c>
      <c r="P40" s="281">
        <f t="shared" si="4"/>
        <v>1056500</v>
      </c>
    </row>
    <row r="41" spans="2:16" x14ac:dyDescent="0.2">
      <c r="B41" s="230">
        <v>35</v>
      </c>
      <c r="C41" s="280" t="s">
        <v>275</v>
      </c>
      <c r="D41" s="230">
        <v>2</v>
      </c>
      <c r="E41" s="281">
        <v>33250</v>
      </c>
      <c r="F41" s="281">
        <f t="shared" si="0"/>
        <v>66500</v>
      </c>
      <c r="G41" s="563">
        <v>4</v>
      </c>
      <c r="H41" s="281">
        <v>95000</v>
      </c>
      <c r="I41" s="281">
        <f t="shared" si="1"/>
        <v>380000</v>
      </c>
      <c r="J41" s="563">
        <v>2</v>
      </c>
      <c r="K41" s="281">
        <v>100000</v>
      </c>
      <c r="L41" s="281">
        <f t="shared" si="2"/>
        <v>200000</v>
      </c>
      <c r="M41" s="563">
        <v>6</v>
      </c>
      <c r="N41" s="281">
        <v>100000</v>
      </c>
      <c r="O41" s="559">
        <f t="shared" si="3"/>
        <v>600000</v>
      </c>
      <c r="P41" s="281">
        <f t="shared" si="4"/>
        <v>1246500</v>
      </c>
    </row>
    <row r="42" spans="2:16" x14ac:dyDescent="0.2">
      <c r="B42" s="230">
        <v>36</v>
      </c>
      <c r="C42" s="280" t="s">
        <v>296</v>
      </c>
      <c r="D42" s="230">
        <v>10</v>
      </c>
      <c r="E42" s="281">
        <v>33250</v>
      </c>
      <c r="F42" s="281">
        <f t="shared" si="0"/>
        <v>332500</v>
      </c>
      <c r="G42" s="563">
        <v>50</v>
      </c>
      <c r="H42" s="281">
        <v>95000</v>
      </c>
      <c r="I42" s="281">
        <f t="shared" si="1"/>
        <v>4750000</v>
      </c>
      <c r="J42" s="563">
        <v>10</v>
      </c>
      <c r="K42" s="281">
        <v>100000</v>
      </c>
      <c r="L42" s="281">
        <f t="shared" si="2"/>
        <v>1000000</v>
      </c>
      <c r="M42" s="563">
        <v>24</v>
      </c>
      <c r="N42" s="281">
        <v>100000</v>
      </c>
      <c r="O42" s="559">
        <f t="shared" si="3"/>
        <v>2400000</v>
      </c>
      <c r="P42" s="281">
        <f t="shared" si="4"/>
        <v>8482500</v>
      </c>
    </row>
    <row r="43" spans="2:16" x14ac:dyDescent="0.2">
      <c r="B43" s="230">
        <v>37</v>
      </c>
      <c r="C43" s="280" t="s">
        <v>277</v>
      </c>
      <c r="D43" s="230">
        <v>10</v>
      </c>
      <c r="E43" s="281">
        <v>33250</v>
      </c>
      <c r="F43" s="281">
        <f t="shared" si="0"/>
        <v>332500</v>
      </c>
      <c r="G43" s="563">
        <v>50</v>
      </c>
      <c r="H43" s="281">
        <v>95000</v>
      </c>
      <c r="I43" s="281">
        <f t="shared" si="1"/>
        <v>4750000</v>
      </c>
      <c r="J43" s="563">
        <v>10</v>
      </c>
      <c r="K43" s="281">
        <v>100000</v>
      </c>
      <c r="L43" s="281">
        <f t="shared" si="2"/>
        <v>1000000</v>
      </c>
      <c r="M43" s="563">
        <v>24</v>
      </c>
      <c r="N43" s="281">
        <v>100000</v>
      </c>
      <c r="O43" s="559">
        <f t="shared" si="3"/>
        <v>2400000</v>
      </c>
      <c r="P43" s="281">
        <f t="shared" si="4"/>
        <v>8482500</v>
      </c>
    </row>
    <row r="44" spans="2:16" x14ac:dyDescent="0.2">
      <c r="B44" s="230">
        <v>38</v>
      </c>
      <c r="C44" s="280" t="s">
        <v>278</v>
      </c>
      <c r="D44" s="230">
        <v>10</v>
      </c>
      <c r="E44" s="281">
        <v>33250</v>
      </c>
      <c r="F44" s="281">
        <f t="shared" si="0"/>
        <v>332500</v>
      </c>
      <c r="G44" s="563">
        <v>50</v>
      </c>
      <c r="H44" s="281">
        <v>95000</v>
      </c>
      <c r="I44" s="281">
        <f t="shared" si="1"/>
        <v>4750000</v>
      </c>
      <c r="J44" s="563">
        <v>10</v>
      </c>
      <c r="K44" s="281">
        <v>100000</v>
      </c>
      <c r="L44" s="281">
        <f t="shared" si="2"/>
        <v>1000000</v>
      </c>
      <c r="M44" s="563">
        <v>24</v>
      </c>
      <c r="N44" s="281">
        <v>100000</v>
      </c>
      <c r="O44" s="559">
        <f t="shared" si="3"/>
        <v>2400000</v>
      </c>
      <c r="P44" s="281">
        <f t="shared" si="4"/>
        <v>8482500</v>
      </c>
    </row>
    <row r="45" spans="2:16" x14ac:dyDescent="0.2">
      <c r="B45" s="230">
        <v>39</v>
      </c>
      <c r="C45" s="280" t="s">
        <v>533</v>
      </c>
      <c r="D45" s="230">
        <v>2</v>
      </c>
      <c r="E45" s="281">
        <v>33250</v>
      </c>
      <c r="F45" s="281">
        <f t="shared" si="0"/>
        <v>66500</v>
      </c>
      <c r="G45" s="563">
        <v>2</v>
      </c>
      <c r="H45" s="281">
        <v>95000</v>
      </c>
      <c r="I45" s="281">
        <f t="shared" si="1"/>
        <v>190000</v>
      </c>
      <c r="J45" s="563"/>
      <c r="K45" s="281">
        <v>100000</v>
      </c>
      <c r="L45" s="281">
        <f t="shared" si="2"/>
        <v>0</v>
      </c>
      <c r="M45" s="563">
        <v>2</v>
      </c>
      <c r="N45" s="281">
        <v>100000</v>
      </c>
      <c r="O45" s="559">
        <f t="shared" si="3"/>
        <v>200000</v>
      </c>
      <c r="P45" s="281">
        <f t="shared" si="4"/>
        <v>456500</v>
      </c>
    </row>
    <row r="46" spans="2:16" x14ac:dyDescent="0.2">
      <c r="B46" s="230">
        <v>40</v>
      </c>
      <c r="C46" s="280" t="s">
        <v>280</v>
      </c>
      <c r="D46" s="230"/>
      <c r="E46" s="560"/>
      <c r="F46" s="280"/>
      <c r="G46" s="230"/>
      <c r="H46" s="280"/>
      <c r="I46" s="280"/>
      <c r="J46" s="230"/>
      <c r="K46" s="280"/>
      <c r="L46" s="280"/>
      <c r="M46" s="230"/>
      <c r="N46" s="280"/>
      <c r="O46" s="559"/>
      <c r="P46" s="281">
        <f t="shared" si="4"/>
        <v>0</v>
      </c>
    </row>
    <row r="47" spans="2:16" ht="24" customHeight="1" x14ac:dyDescent="0.2">
      <c r="B47" s="934" t="s">
        <v>297</v>
      </c>
      <c r="C47" s="935"/>
      <c r="D47" s="508">
        <f>SUM(D7:D46)</f>
        <v>126</v>
      </c>
      <c r="E47" s="561"/>
      <c r="F47" s="285">
        <f>SUM(F7:F46)</f>
        <v>4189500</v>
      </c>
      <c r="G47" s="500">
        <f>SUM(G7:G45)</f>
        <v>266</v>
      </c>
      <c r="H47" s="285"/>
      <c r="I47" s="285">
        <f>SUM(I7:I46)</f>
        <v>25280000</v>
      </c>
      <c r="J47" s="500">
        <f>SUM(J7:J45)</f>
        <v>98</v>
      </c>
      <c r="K47" s="285"/>
      <c r="L47" s="285">
        <f>SUM(L7:L46)</f>
        <v>9820000</v>
      </c>
      <c r="M47" s="500">
        <f>SUM(M7:M45)</f>
        <v>276</v>
      </c>
      <c r="N47" s="285"/>
      <c r="O47" s="285">
        <f>SUM(O7:O46)</f>
        <v>27600000</v>
      </c>
      <c r="P47" s="285">
        <f>+O47+L47+I47+F47</f>
        <v>66889500</v>
      </c>
    </row>
    <row r="48" spans="2:16" x14ac:dyDescent="0.2">
      <c r="B48" s="936" t="s">
        <v>372</v>
      </c>
      <c r="C48" s="937"/>
      <c r="D48" s="937"/>
      <c r="E48" s="937"/>
      <c r="F48" s="937"/>
      <c r="G48" s="937"/>
      <c r="H48" s="937"/>
      <c r="I48" s="937"/>
      <c r="J48" s="937"/>
      <c r="K48" s="937"/>
      <c r="L48" s="937"/>
      <c r="M48" s="937"/>
      <c r="N48" s="937"/>
      <c r="O48" s="937"/>
      <c r="P48" s="285">
        <f>SUM(P47)</f>
        <v>66889500</v>
      </c>
    </row>
    <row r="49" spans="2:16" ht="15" customHeight="1" x14ac:dyDescent="0.2">
      <c r="B49" s="938"/>
      <c r="C49" s="939"/>
      <c r="D49" s="939"/>
      <c r="E49" s="939"/>
      <c r="F49" s="939"/>
      <c r="G49" s="939"/>
      <c r="H49" s="939"/>
      <c r="I49" s="939"/>
      <c r="J49" s="939"/>
      <c r="K49" s="939"/>
      <c r="L49" s="939"/>
      <c r="M49" s="939"/>
      <c r="N49" s="939"/>
      <c r="O49" s="939"/>
      <c r="P49" s="281">
        <f>P48*0.16</f>
        <v>10702320</v>
      </c>
    </row>
    <row r="50" spans="2:16" x14ac:dyDescent="0.2">
      <c r="B50" s="940"/>
      <c r="C50" s="941"/>
      <c r="D50" s="941"/>
      <c r="E50" s="941"/>
      <c r="F50" s="941"/>
      <c r="G50" s="941"/>
      <c r="H50" s="941"/>
      <c r="I50" s="941"/>
      <c r="J50" s="941"/>
      <c r="K50" s="941"/>
      <c r="L50" s="941"/>
      <c r="M50" s="941"/>
      <c r="N50" s="941"/>
      <c r="O50" s="941"/>
      <c r="P50" s="285">
        <f>SUM(P48:P49)</f>
        <v>77591820</v>
      </c>
    </row>
  </sheetData>
  <mergeCells count="11">
    <mergeCell ref="B3:P3"/>
    <mergeCell ref="B4:P4"/>
    <mergeCell ref="D5:F5"/>
    <mergeCell ref="G5:I5"/>
    <mergeCell ref="J5:L5"/>
    <mergeCell ref="M5:O5"/>
    <mergeCell ref="B47:C47"/>
    <mergeCell ref="B48:O50"/>
    <mergeCell ref="C5:C6"/>
    <mergeCell ref="B5:B6"/>
    <mergeCell ref="P5:P6"/>
  </mergeCells>
  <printOptions horizontalCentered="1"/>
  <pageMargins left="0.25" right="0.25" top="0.75" bottom="0.75" header="0.3" footer="0.3"/>
  <pageSetup paperSize="5" scale="7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3:O50"/>
  <sheetViews>
    <sheetView view="pageLayout" topLeftCell="B1" zoomScale="90" zoomScalePageLayoutView="90" workbookViewId="0">
      <selection activeCell="M51" sqref="M51"/>
    </sheetView>
  </sheetViews>
  <sheetFormatPr baseColWidth="10" defaultRowHeight="12" x14ac:dyDescent="0.2"/>
  <cols>
    <col min="1" max="2" width="11.42578125" style="159"/>
    <col min="3" max="3" width="6.85546875" style="562" customWidth="1"/>
    <col min="4" max="4" width="21.42578125" style="159" customWidth="1"/>
    <col min="5" max="5" width="10.5703125" style="562" customWidth="1"/>
    <col min="6" max="6" width="11.42578125" style="159" customWidth="1"/>
    <col min="7" max="7" width="12.140625" style="159" customWidth="1"/>
    <col min="8" max="8" width="9.140625" style="562" customWidth="1"/>
    <col min="9" max="9" width="12" style="159" customWidth="1"/>
    <col min="10" max="10" width="14.85546875" style="159" customWidth="1"/>
    <col min="11" max="11" width="8.7109375" style="562" customWidth="1"/>
    <col min="12" max="12" width="10.5703125" style="159" customWidth="1"/>
    <col min="13" max="13" width="13.42578125" style="159" customWidth="1"/>
    <col min="14" max="14" width="16" style="159" customWidth="1"/>
    <col min="15" max="15" width="16.28515625" style="159" customWidth="1"/>
    <col min="16" max="16384" width="11.42578125" style="159"/>
  </cols>
  <sheetData>
    <row r="3" spans="3:15" x14ac:dyDescent="0.2">
      <c r="C3" s="944" t="s">
        <v>367</v>
      </c>
      <c r="D3" s="944"/>
      <c r="E3" s="944"/>
      <c r="F3" s="944"/>
      <c r="G3" s="944"/>
      <c r="H3" s="944"/>
      <c r="I3" s="944"/>
      <c r="J3" s="944"/>
      <c r="K3" s="944"/>
      <c r="L3" s="944"/>
      <c r="M3" s="944"/>
      <c r="N3" s="944"/>
      <c r="O3" s="944"/>
    </row>
    <row r="4" spans="3:15" x14ac:dyDescent="0.2">
      <c r="C4" s="867" t="s">
        <v>1400</v>
      </c>
      <c r="D4" s="867"/>
      <c r="E4" s="867"/>
      <c r="F4" s="867"/>
      <c r="G4" s="867"/>
      <c r="H4" s="867"/>
      <c r="I4" s="867"/>
      <c r="J4" s="867"/>
      <c r="K4" s="867"/>
      <c r="L4" s="867"/>
      <c r="M4" s="867"/>
      <c r="N4" s="867"/>
      <c r="O4" s="867"/>
    </row>
    <row r="5" spans="3:15" ht="63" customHeight="1" x14ac:dyDescent="0.2">
      <c r="C5" s="942" t="s">
        <v>368</v>
      </c>
      <c r="D5" s="942" t="s">
        <v>287</v>
      </c>
      <c r="E5" s="945" t="s">
        <v>1505</v>
      </c>
      <c r="F5" s="946"/>
      <c r="G5" s="947"/>
      <c r="H5" s="945" t="s">
        <v>1506</v>
      </c>
      <c r="I5" s="946"/>
      <c r="J5" s="947"/>
      <c r="K5" s="945" t="s">
        <v>1507</v>
      </c>
      <c r="L5" s="946"/>
      <c r="M5" s="947"/>
      <c r="N5" s="942" t="s">
        <v>1604</v>
      </c>
      <c r="O5" s="942" t="s">
        <v>284</v>
      </c>
    </row>
    <row r="6" spans="3:15" ht="15" customHeight="1" x14ac:dyDescent="0.2">
      <c r="C6" s="943"/>
      <c r="D6" s="943"/>
      <c r="E6" s="508" t="s">
        <v>162</v>
      </c>
      <c r="F6" s="508" t="s">
        <v>285</v>
      </c>
      <c r="G6" s="508" t="s">
        <v>164</v>
      </c>
      <c r="H6" s="508" t="s">
        <v>162</v>
      </c>
      <c r="I6" s="508" t="s">
        <v>285</v>
      </c>
      <c r="J6" s="508" t="s">
        <v>164</v>
      </c>
      <c r="K6" s="508" t="s">
        <v>162</v>
      </c>
      <c r="L6" s="508" t="s">
        <v>285</v>
      </c>
      <c r="M6" s="508" t="s">
        <v>164</v>
      </c>
      <c r="N6" s="943"/>
      <c r="O6" s="943"/>
    </row>
    <row r="7" spans="3:15" x14ac:dyDescent="0.2">
      <c r="C7" s="230">
        <v>1</v>
      </c>
      <c r="D7" s="280" t="s">
        <v>241</v>
      </c>
      <c r="E7" s="563">
        <v>6</v>
      </c>
      <c r="F7" s="281">
        <v>36500</v>
      </c>
      <c r="G7" s="281">
        <f>+F7*E7</f>
        <v>219000</v>
      </c>
      <c r="H7" s="563"/>
      <c r="I7" s="281"/>
      <c r="J7" s="281"/>
      <c r="K7" s="563"/>
      <c r="L7" s="281"/>
      <c r="M7" s="281"/>
      <c r="N7" s="281"/>
      <c r="O7" s="281">
        <f>+M7+J7+G7</f>
        <v>219000</v>
      </c>
    </row>
    <row r="8" spans="3:15" x14ac:dyDescent="0.2">
      <c r="C8" s="230">
        <v>2</v>
      </c>
      <c r="D8" s="280" t="s">
        <v>242</v>
      </c>
      <c r="E8" s="563">
        <v>36</v>
      </c>
      <c r="F8" s="281">
        <v>36500</v>
      </c>
      <c r="G8" s="281">
        <f t="shared" ref="G8:G45" si="0">+F8*E8</f>
        <v>1314000</v>
      </c>
      <c r="H8" s="563">
        <v>66</v>
      </c>
      <c r="I8" s="281">
        <v>140000</v>
      </c>
      <c r="J8" s="281">
        <f t="shared" ref="J8:J44" si="1">+I8*H8</f>
        <v>9240000</v>
      </c>
      <c r="K8" s="563">
        <v>8</v>
      </c>
      <c r="L8" s="281">
        <v>120000</v>
      </c>
      <c r="M8" s="281">
        <f t="shared" ref="M8:M44" si="2">+L8*K8</f>
        <v>960000</v>
      </c>
      <c r="N8" s="281">
        <v>343200</v>
      </c>
      <c r="O8" s="281">
        <f t="shared" ref="O8:O46" si="3">+M8+J8+G8</f>
        <v>11514000</v>
      </c>
    </row>
    <row r="9" spans="3:15" x14ac:dyDescent="0.2">
      <c r="C9" s="230">
        <v>3</v>
      </c>
      <c r="D9" s="280" t="s">
        <v>1605</v>
      </c>
      <c r="E9" s="563">
        <v>6</v>
      </c>
      <c r="F9" s="281">
        <v>36500</v>
      </c>
      <c r="G9" s="281">
        <v>219000</v>
      </c>
      <c r="H9" s="563"/>
      <c r="I9" s="281"/>
      <c r="J9" s="281"/>
      <c r="K9" s="563"/>
      <c r="L9" s="281"/>
      <c r="M9" s="281"/>
      <c r="N9" s="281">
        <v>0</v>
      </c>
      <c r="O9" s="281">
        <f t="shared" si="3"/>
        <v>219000</v>
      </c>
    </row>
    <row r="10" spans="3:15" x14ac:dyDescent="0.2">
      <c r="C10" s="230">
        <v>4</v>
      </c>
      <c r="D10" s="280" t="s">
        <v>244</v>
      </c>
      <c r="E10" s="563">
        <v>6</v>
      </c>
      <c r="F10" s="281">
        <v>36500</v>
      </c>
      <c r="G10" s="281">
        <f t="shared" si="0"/>
        <v>219000</v>
      </c>
      <c r="H10" s="563"/>
      <c r="I10" s="281"/>
      <c r="J10" s="281"/>
      <c r="K10" s="563"/>
      <c r="L10" s="281"/>
      <c r="M10" s="281"/>
      <c r="N10" s="281">
        <v>0</v>
      </c>
      <c r="O10" s="281">
        <f t="shared" si="3"/>
        <v>219000</v>
      </c>
    </row>
    <row r="11" spans="3:15" x14ac:dyDescent="0.2">
      <c r="C11" s="230">
        <v>5</v>
      </c>
      <c r="D11" s="280" t="s">
        <v>245</v>
      </c>
      <c r="E11" s="563">
        <v>6</v>
      </c>
      <c r="F11" s="281">
        <v>36500</v>
      </c>
      <c r="G11" s="281">
        <f t="shared" si="0"/>
        <v>219000</v>
      </c>
      <c r="H11" s="563"/>
      <c r="I11" s="281"/>
      <c r="J11" s="281"/>
      <c r="K11" s="563"/>
      <c r="L11" s="281"/>
      <c r="M11" s="281"/>
      <c r="N11" s="281">
        <v>0</v>
      </c>
      <c r="O11" s="281">
        <f t="shared" si="3"/>
        <v>219000</v>
      </c>
    </row>
    <row r="12" spans="3:15" x14ac:dyDescent="0.2">
      <c r="C12" s="230">
        <v>6</v>
      </c>
      <c r="D12" s="280" t="s">
        <v>246</v>
      </c>
      <c r="E12" s="563">
        <v>6</v>
      </c>
      <c r="F12" s="281">
        <v>36500</v>
      </c>
      <c r="G12" s="281">
        <f t="shared" si="0"/>
        <v>219000</v>
      </c>
      <c r="H12" s="563"/>
      <c r="I12" s="281"/>
      <c r="J12" s="281"/>
      <c r="K12" s="563"/>
      <c r="L12" s="281"/>
      <c r="M12" s="281"/>
      <c r="N12" s="281">
        <v>0</v>
      </c>
      <c r="O12" s="281">
        <f t="shared" si="3"/>
        <v>219000</v>
      </c>
    </row>
    <row r="13" spans="3:15" x14ac:dyDescent="0.2">
      <c r="C13" s="230">
        <v>7</v>
      </c>
      <c r="D13" s="280" t="s">
        <v>248</v>
      </c>
      <c r="E13" s="563">
        <v>6</v>
      </c>
      <c r="F13" s="281">
        <v>36500</v>
      </c>
      <c r="G13" s="281">
        <f t="shared" si="0"/>
        <v>219000</v>
      </c>
      <c r="H13" s="563"/>
      <c r="I13" s="281"/>
      <c r="J13" s="281"/>
      <c r="K13" s="563"/>
      <c r="L13" s="281"/>
      <c r="M13" s="281"/>
      <c r="N13" s="281">
        <v>0</v>
      </c>
      <c r="O13" s="281">
        <f t="shared" si="3"/>
        <v>219000</v>
      </c>
    </row>
    <row r="14" spans="3:15" x14ac:dyDescent="0.2">
      <c r="C14" s="230">
        <v>8</v>
      </c>
      <c r="D14" s="280" t="s">
        <v>526</v>
      </c>
      <c r="E14" s="563">
        <v>6</v>
      </c>
      <c r="F14" s="281">
        <v>36500</v>
      </c>
      <c r="G14" s="281">
        <f t="shared" si="0"/>
        <v>219000</v>
      </c>
      <c r="H14" s="563"/>
      <c r="I14" s="281"/>
      <c r="J14" s="281"/>
      <c r="K14" s="563"/>
      <c r="L14" s="281"/>
      <c r="M14" s="281"/>
      <c r="N14" s="281">
        <v>0</v>
      </c>
      <c r="O14" s="281">
        <f t="shared" si="3"/>
        <v>219000</v>
      </c>
    </row>
    <row r="15" spans="3:15" x14ac:dyDescent="0.2">
      <c r="C15" s="230">
        <v>9</v>
      </c>
      <c r="D15" s="280" t="s">
        <v>249</v>
      </c>
      <c r="E15" s="563">
        <v>6</v>
      </c>
      <c r="F15" s="281">
        <v>36500</v>
      </c>
      <c r="G15" s="281">
        <f t="shared" si="0"/>
        <v>219000</v>
      </c>
      <c r="H15" s="563"/>
      <c r="I15" s="281"/>
      <c r="J15" s="281"/>
      <c r="K15" s="563"/>
      <c r="L15" s="281"/>
      <c r="M15" s="281"/>
      <c r="N15" s="281">
        <v>0</v>
      </c>
      <c r="O15" s="281">
        <f t="shared" si="3"/>
        <v>219000</v>
      </c>
    </row>
    <row r="16" spans="3:15" x14ac:dyDescent="0.2">
      <c r="C16" s="230">
        <v>10</v>
      </c>
      <c r="D16" s="280" t="s">
        <v>250</v>
      </c>
      <c r="E16" s="563">
        <v>6</v>
      </c>
      <c r="F16" s="281">
        <v>36500</v>
      </c>
      <c r="G16" s="281">
        <f t="shared" si="0"/>
        <v>219000</v>
      </c>
      <c r="H16" s="563"/>
      <c r="I16" s="281"/>
      <c r="J16" s="281"/>
      <c r="K16" s="563"/>
      <c r="L16" s="281"/>
      <c r="M16" s="281"/>
      <c r="N16" s="281">
        <v>0</v>
      </c>
      <c r="O16" s="281">
        <f t="shared" si="3"/>
        <v>219000</v>
      </c>
    </row>
    <row r="17" spans="3:15" x14ac:dyDescent="0.2">
      <c r="C17" s="230">
        <v>11</v>
      </c>
      <c r="D17" s="280" t="s">
        <v>251</v>
      </c>
      <c r="E17" s="563">
        <v>6</v>
      </c>
      <c r="F17" s="281">
        <v>36500</v>
      </c>
      <c r="G17" s="281">
        <f t="shared" si="0"/>
        <v>219000</v>
      </c>
      <c r="H17" s="563"/>
      <c r="I17" s="281"/>
      <c r="J17" s="281"/>
      <c r="K17" s="563"/>
      <c r="L17" s="281"/>
      <c r="M17" s="281"/>
      <c r="N17" s="281">
        <v>0</v>
      </c>
      <c r="O17" s="281">
        <f t="shared" si="3"/>
        <v>219000</v>
      </c>
    </row>
    <row r="18" spans="3:15" x14ac:dyDescent="0.2">
      <c r="C18" s="230">
        <v>12</v>
      </c>
      <c r="D18" s="280" t="s">
        <v>252</v>
      </c>
      <c r="E18" s="563">
        <v>10</v>
      </c>
      <c r="F18" s="281">
        <v>36500</v>
      </c>
      <c r="G18" s="281">
        <f t="shared" si="0"/>
        <v>365000</v>
      </c>
      <c r="H18" s="563"/>
      <c r="I18" s="281"/>
      <c r="J18" s="281"/>
      <c r="K18" s="563"/>
      <c r="L18" s="281"/>
      <c r="M18" s="281"/>
      <c r="N18" s="281">
        <v>0</v>
      </c>
      <c r="O18" s="281">
        <f t="shared" si="3"/>
        <v>365000</v>
      </c>
    </row>
    <row r="19" spans="3:15" x14ac:dyDescent="0.2">
      <c r="C19" s="230">
        <v>13</v>
      </c>
      <c r="D19" s="280" t="s">
        <v>253</v>
      </c>
      <c r="E19" s="563">
        <v>6</v>
      </c>
      <c r="F19" s="281">
        <v>36500</v>
      </c>
      <c r="G19" s="281">
        <f t="shared" si="0"/>
        <v>219000</v>
      </c>
      <c r="H19" s="563"/>
      <c r="I19" s="281"/>
      <c r="J19" s="281"/>
      <c r="K19" s="563"/>
      <c r="L19" s="281"/>
      <c r="M19" s="281"/>
      <c r="N19" s="281">
        <v>0</v>
      </c>
      <c r="O19" s="281">
        <f t="shared" si="3"/>
        <v>219000</v>
      </c>
    </row>
    <row r="20" spans="3:15" x14ac:dyDescent="0.2">
      <c r="C20" s="230">
        <v>14</v>
      </c>
      <c r="D20" s="280" t="s">
        <v>531</v>
      </c>
      <c r="E20" s="563">
        <v>6</v>
      </c>
      <c r="F20" s="281">
        <v>36500</v>
      </c>
      <c r="G20" s="281">
        <f t="shared" si="0"/>
        <v>219000</v>
      </c>
      <c r="H20" s="563"/>
      <c r="I20" s="281"/>
      <c r="J20" s="281"/>
      <c r="K20" s="563"/>
      <c r="L20" s="281"/>
      <c r="M20" s="281"/>
      <c r="N20" s="281">
        <v>0</v>
      </c>
      <c r="O20" s="281">
        <f t="shared" si="3"/>
        <v>219000</v>
      </c>
    </row>
    <row r="21" spans="3:15" x14ac:dyDescent="0.2">
      <c r="C21" s="230">
        <v>15</v>
      </c>
      <c r="D21" s="280" t="s">
        <v>255</v>
      </c>
      <c r="E21" s="563">
        <v>6</v>
      </c>
      <c r="F21" s="281">
        <v>36500</v>
      </c>
      <c r="G21" s="281">
        <f t="shared" si="0"/>
        <v>219000</v>
      </c>
      <c r="H21" s="563"/>
      <c r="I21" s="281"/>
      <c r="J21" s="281"/>
      <c r="K21" s="563"/>
      <c r="L21" s="281"/>
      <c r="M21" s="281"/>
      <c r="N21" s="281">
        <v>0</v>
      </c>
      <c r="O21" s="281">
        <f t="shared" si="3"/>
        <v>219000</v>
      </c>
    </row>
    <row r="22" spans="3:15" x14ac:dyDescent="0.2">
      <c r="C22" s="230">
        <v>16</v>
      </c>
      <c r="D22" s="280" t="s">
        <v>256</v>
      </c>
      <c r="E22" s="563">
        <v>6</v>
      </c>
      <c r="F22" s="281">
        <v>36500</v>
      </c>
      <c r="G22" s="281">
        <f t="shared" si="0"/>
        <v>219000</v>
      </c>
      <c r="H22" s="563"/>
      <c r="I22" s="281"/>
      <c r="J22" s="281"/>
      <c r="K22" s="563"/>
      <c r="L22" s="281"/>
      <c r="M22" s="281"/>
      <c r="N22" s="281">
        <v>0</v>
      </c>
      <c r="O22" s="281">
        <f t="shared" si="3"/>
        <v>219000</v>
      </c>
    </row>
    <row r="23" spans="3:15" x14ac:dyDescent="0.2">
      <c r="C23" s="230">
        <v>17</v>
      </c>
      <c r="D23" s="280" t="s">
        <v>257</v>
      </c>
      <c r="E23" s="563">
        <v>6</v>
      </c>
      <c r="F23" s="281">
        <v>36500</v>
      </c>
      <c r="G23" s="281">
        <f t="shared" si="0"/>
        <v>219000</v>
      </c>
      <c r="H23" s="563"/>
      <c r="I23" s="281"/>
      <c r="J23" s="281"/>
      <c r="K23" s="563"/>
      <c r="L23" s="281"/>
      <c r="M23" s="281"/>
      <c r="N23" s="281">
        <v>0</v>
      </c>
      <c r="O23" s="281">
        <f t="shared" si="3"/>
        <v>219000</v>
      </c>
    </row>
    <row r="24" spans="3:15" x14ac:dyDescent="0.2">
      <c r="C24" s="230">
        <v>18</v>
      </c>
      <c r="D24" s="280" t="s">
        <v>258</v>
      </c>
      <c r="E24" s="563">
        <v>6</v>
      </c>
      <c r="F24" s="281">
        <v>36500</v>
      </c>
      <c r="G24" s="281">
        <f t="shared" si="0"/>
        <v>219000</v>
      </c>
      <c r="H24" s="563"/>
      <c r="I24" s="281"/>
      <c r="J24" s="281"/>
      <c r="K24" s="563"/>
      <c r="L24" s="281"/>
      <c r="M24" s="281"/>
      <c r="N24" s="281">
        <v>0</v>
      </c>
      <c r="O24" s="281">
        <f t="shared" si="3"/>
        <v>219000</v>
      </c>
    </row>
    <row r="25" spans="3:15" x14ac:dyDescent="0.2">
      <c r="C25" s="230">
        <v>19</v>
      </c>
      <c r="D25" s="280" t="s">
        <v>259</v>
      </c>
      <c r="E25" s="563">
        <v>36</v>
      </c>
      <c r="F25" s="281">
        <v>36500</v>
      </c>
      <c r="G25" s="281">
        <f t="shared" si="0"/>
        <v>1314000</v>
      </c>
      <c r="H25" s="563">
        <v>30</v>
      </c>
      <c r="I25" s="281">
        <v>140000</v>
      </c>
      <c r="J25" s="281">
        <f t="shared" si="1"/>
        <v>4200000</v>
      </c>
      <c r="K25" s="563">
        <v>12</v>
      </c>
      <c r="L25" s="281">
        <v>120000</v>
      </c>
      <c r="M25" s="281">
        <f t="shared" si="2"/>
        <v>1440000</v>
      </c>
      <c r="N25" s="281">
        <v>343200</v>
      </c>
      <c r="O25" s="281">
        <f t="shared" si="3"/>
        <v>6954000</v>
      </c>
    </row>
    <row r="26" spans="3:15" x14ac:dyDescent="0.2">
      <c r="C26" s="230">
        <v>20</v>
      </c>
      <c r="D26" s="280" t="s">
        <v>532</v>
      </c>
      <c r="E26" s="563">
        <v>6</v>
      </c>
      <c r="F26" s="281">
        <v>36500</v>
      </c>
      <c r="G26" s="281">
        <f t="shared" si="0"/>
        <v>219000</v>
      </c>
      <c r="H26" s="563"/>
      <c r="I26" s="281"/>
      <c r="J26" s="281"/>
      <c r="K26" s="563"/>
      <c r="L26" s="281"/>
      <c r="M26" s="281"/>
      <c r="N26" s="281">
        <v>0</v>
      </c>
      <c r="O26" s="281">
        <f t="shared" si="3"/>
        <v>219000</v>
      </c>
    </row>
    <row r="27" spans="3:15" x14ac:dyDescent="0.2">
      <c r="C27" s="230">
        <v>21</v>
      </c>
      <c r="D27" s="280" t="s">
        <v>261</v>
      </c>
      <c r="E27" s="563">
        <v>12</v>
      </c>
      <c r="F27" s="281">
        <v>36500</v>
      </c>
      <c r="G27" s="281">
        <f t="shared" si="0"/>
        <v>438000</v>
      </c>
      <c r="H27" s="563"/>
      <c r="I27" s="281"/>
      <c r="J27" s="281"/>
      <c r="K27" s="563"/>
      <c r="L27" s="281"/>
      <c r="M27" s="281"/>
      <c r="N27" s="281">
        <v>0</v>
      </c>
      <c r="O27" s="281">
        <f t="shared" si="3"/>
        <v>438000</v>
      </c>
    </row>
    <row r="28" spans="3:15" x14ac:dyDescent="0.2">
      <c r="C28" s="230">
        <v>22</v>
      </c>
      <c r="D28" s="280" t="s">
        <v>262</v>
      </c>
      <c r="E28" s="563">
        <v>10</v>
      </c>
      <c r="F28" s="281">
        <v>36500</v>
      </c>
      <c r="G28" s="281">
        <f t="shared" si="0"/>
        <v>365000</v>
      </c>
      <c r="H28" s="563"/>
      <c r="I28" s="281"/>
      <c r="J28" s="281"/>
      <c r="K28" s="563"/>
      <c r="L28" s="281"/>
      <c r="M28" s="281"/>
      <c r="N28" s="281">
        <v>0</v>
      </c>
      <c r="O28" s="281">
        <f t="shared" si="3"/>
        <v>365000</v>
      </c>
    </row>
    <row r="29" spans="3:15" x14ac:dyDescent="0.2">
      <c r="C29" s="230">
        <v>23</v>
      </c>
      <c r="D29" s="280" t="s">
        <v>263</v>
      </c>
      <c r="E29" s="563">
        <v>6</v>
      </c>
      <c r="F29" s="281">
        <v>36500</v>
      </c>
      <c r="G29" s="281">
        <f t="shared" si="0"/>
        <v>219000</v>
      </c>
      <c r="H29" s="563"/>
      <c r="I29" s="281"/>
      <c r="J29" s="281"/>
      <c r="K29" s="563"/>
      <c r="L29" s="281"/>
      <c r="M29" s="281"/>
      <c r="N29" s="281">
        <v>0</v>
      </c>
      <c r="O29" s="281">
        <f t="shared" si="3"/>
        <v>219000</v>
      </c>
    </row>
    <row r="30" spans="3:15" x14ac:dyDescent="0.2">
      <c r="C30" s="230">
        <v>24</v>
      </c>
      <c r="D30" s="280" t="s">
        <v>264</v>
      </c>
      <c r="E30" s="563">
        <v>6</v>
      </c>
      <c r="F30" s="281">
        <v>36500</v>
      </c>
      <c r="G30" s="281">
        <f t="shared" si="0"/>
        <v>219000</v>
      </c>
      <c r="H30" s="563"/>
      <c r="I30" s="281"/>
      <c r="J30" s="281"/>
      <c r="K30" s="563"/>
      <c r="L30" s="281"/>
      <c r="M30" s="281"/>
      <c r="N30" s="281">
        <v>0</v>
      </c>
      <c r="O30" s="281">
        <f t="shared" si="3"/>
        <v>219000</v>
      </c>
    </row>
    <row r="31" spans="3:15" x14ac:dyDescent="0.2">
      <c r="C31" s="230">
        <v>25</v>
      </c>
      <c r="D31" s="280" t="s">
        <v>265</v>
      </c>
      <c r="E31" s="563">
        <v>36</v>
      </c>
      <c r="F31" s="281">
        <v>36500</v>
      </c>
      <c r="G31" s="281">
        <f t="shared" si="0"/>
        <v>1314000</v>
      </c>
      <c r="H31" s="563">
        <v>66</v>
      </c>
      <c r="I31" s="281">
        <v>140000</v>
      </c>
      <c r="J31" s="281">
        <f t="shared" si="1"/>
        <v>9240000</v>
      </c>
      <c r="K31" s="563">
        <v>12</v>
      </c>
      <c r="L31" s="281">
        <v>120000</v>
      </c>
      <c r="M31" s="281">
        <f t="shared" si="2"/>
        <v>1440000</v>
      </c>
      <c r="N31" s="281">
        <v>343200</v>
      </c>
      <c r="O31" s="281">
        <f t="shared" si="3"/>
        <v>11994000</v>
      </c>
    </row>
    <row r="32" spans="3:15" x14ac:dyDescent="0.2">
      <c r="C32" s="230">
        <v>26</v>
      </c>
      <c r="D32" s="280" t="s">
        <v>266</v>
      </c>
      <c r="E32" s="563">
        <v>6</v>
      </c>
      <c r="F32" s="281">
        <v>36500</v>
      </c>
      <c r="G32" s="281">
        <f t="shared" si="0"/>
        <v>219000</v>
      </c>
      <c r="H32" s="563"/>
      <c r="I32" s="281"/>
      <c r="J32" s="281"/>
      <c r="K32" s="563"/>
      <c r="L32" s="281"/>
      <c r="M32" s="281"/>
      <c r="N32" s="281">
        <v>0</v>
      </c>
      <c r="O32" s="281">
        <f t="shared" si="3"/>
        <v>219000</v>
      </c>
    </row>
    <row r="33" spans="3:15" x14ac:dyDescent="0.2">
      <c r="C33" s="230">
        <v>27</v>
      </c>
      <c r="D33" s="280" t="s">
        <v>267</v>
      </c>
      <c r="E33" s="563">
        <v>6</v>
      </c>
      <c r="F33" s="281">
        <v>36500</v>
      </c>
      <c r="G33" s="281">
        <f t="shared" si="0"/>
        <v>219000</v>
      </c>
      <c r="H33" s="563"/>
      <c r="I33" s="281"/>
      <c r="J33" s="281"/>
      <c r="K33" s="563"/>
      <c r="L33" s="281"/>
      <c r="M33" s="281"/>
      <c r="N33" s="281">
        <v>0</v>
      </c>
      <c r="O33" s="281">
        <f t="shared" si="3"/>
        <v>219000</v>
      </c>
    </row>
    <row r="34" spans="3:15" x14ac:dyDescent="0.2">
      <c r="C34" s="230">
        <v>28</v>
      </c>
      <c r="D34" s="280" t="s">
        <v>268</v>
      </c>
      <c r="E34" s="563">
        <v>10</v>
      </c>
      <c r="F34" s="281">
        <v>36500</v>
      </c>
      <c r="G34" s="281">
        <f t="shared" si="0"/>
        <v>365000</v>
      </c>
      <c r="H34" s="563"/>
      <c r="I34" s="281"/>
      <c r="J34" s="281"/>
      <c r="K34" s="563"/>
      <c r="L34" s="281"/>
      <c r="M34" s="281"/>
      <c r="N34" s="281">
        <v>0</v>
      </c>
      <c r="O34" s="281">
        <f t="shared" si="3"/>
        <v>365000</v>
      </c>
    </row>
    <row r="35" spans="3:15" x14ac:dyDescent="0.2">
      <c r="C35" s="230">
        <v>29</v>
      </c>
      <c r="D35" s="280" t="s">
        <v>269</v>
      </c>
      <c r="E35" s="563">
        <v>6</v>
      </c>
      <c r="F35" s="281">
        <v>36500</v>
      </c>
      <c r="G35" s="281">
        <f t="shared" si="0"/>
        <v>219000</v>
      </c>
      <c r="H35" s="563"/>
      <c r="I35" s="281"/>
      <c r="J35" s="281"/>
      <c r="K35" s="563"/>
      <c r="L35" s="281"/>
      <c r="M35" s="281"/>
      <c r="N35" s="281">
        <v>0</v>
      </c>
      <c r="O35" s="281">
        <f t="shared" si="3"/>
        <v>219000</v>
      </c>
    </row>
    <row r="36" spans="3:15" x14ac:dyDescent="0.2">
      <c r="C36" s="230">
        <v>30</v>
      </c>
      <c r="D36" s="280" t="s">
        <v>270</v>
      </c>
      <c r="E36" s="563">
        <v>6</v>
      </c>
      <c r="F36" s="281">
        <v>36500</v>
      </c>
      <c r="G36" s="281">
        <f t="shared" si="0"/>
        <v>219000</v>
      </c>
      <c r="H36" s="563"/>
      <c r="I36" s="281"/>
      <c r="J36" s="281"/>
      <c r="K36" s="563"/>
      <c r="L36" s="281"/>
      <c r="M36" s="281"/>
      <c r="N36" s="281">
        <v>0</v>
      </c>
      <c r="O36" s="281">
        <f t="shared" si="3"/>
        <v>219000</v>
      </c>
    </row>
    <row r="37" spans="3:15" x14ac:dyDescent="0.2">
      <c r="C37" s="230">
        <v>31</v>
      </c>
      <c r="D37" s="280" t="s">
        <v>271</v>
      </c>
      <c r="E37" s="563">
        <v>10</v>
      </c>
      <c r="F37" s="281">
        <v>36500</v>
      </c>
      <c r="G37" s="281">
        <f t="shared" si="0"/>
        <v>365000</v>
      </c>
      <c r="H37" s="563"/>
      <c r="I37" s="281"/>
      <c r="J37" s="281"/>
      <c r="K37" s="563"/>
      <c r="L37" s="281"/>
      <c r="M37" s="281"/>
      <c r="N37" s="281">
        <v>0</v>
      </c>
      <c r="O37" s="281">
        <f t="shared" si="3"/>
        <v>365000</v>
      </c>
    </row>
    <row r="38" spans="3:15" x14ac:dyDescent="0.2">
      <c r="C38" s="230">
        <v>32</v>
      </c>
      <c r="D38" s="280" t="s">
        <v>272</v>
      </c>
      <c r="E38" s="563">
        <v>6</v>
      </c>
      <c r="F38" s="281">
        <v>36500</v>
      </c>
      <c r="G38" s="281">
        <f t="shared" si="0"/>
        <v>219000</v>
      </c>
      <c r="H38" s="563"/>
      <c r="I38" s="281"/>
      <c r="J38" s="281"/>
      <c r="K38" s="563"/>
      <c r="L38" s="281"/>
      <c r="M38" s="281"/>
      <c r="N38" s="281">
        <v>0</v>
      </c>
      <c r="O38" s="281">
        <f t="shared" si="3"/>
        <v>219000</v>
      </c>
    </row>
    <row r="39" spans="3:15" x14ac:dyDescent="0.2">
      <c r="C39" s="230">
        <v>33</v>
      </c>
      <c r="D39" s="280" t="s">
        <v>273</v>
      </c>
      <c r="E39" s="563">
        <v>10</v>
      </c>
      <c r="F39" s="281">
        <v>36500</v>
      </c>
      <c r="G39" s="281">
        <f t="shared" si="0"/>
        <v>365000</v>
      </c>
      <c r="H39" s="563"/>
      <c r="I39" s="281"/>
      <c r="J39" s="281"/>
      <c r="K39" s="563"/>
      <c r="L39" s="281"/>
      <c r="M39" s="281"/>
      <c r="N39" s="281">
        <v>0</v>
      </c>
      <c r="O39" s="281">
        <f t="shared" si="3"/>
        <v>365000</v>
      </c>
    </row>
    <row r="40" spans="3:15" x14ac:dyDescent="0.2">
      <c r="C40" s="230">
        <v>34</v>
      </c>
      <c r="D40" s="280" t="s">
        <v>274</v>
      </c>
      <c r="E40" s="563">
        <v>6</v>
      </c>
      <c r="F40" s="281">
        <v>36500</v>
      </c>
      <c r="G40" s="281">
        <f t="shared" si="0"/>
        <v>219000</v>
      </c>
      <c r="H40" s="563"/>
      <c r="I40" s="281"/>
      <c r="J40" s="281"/>
      <c r="K40" s="563"/>
      <c r="L40" s="281"/>
      <c r="M40" s="281"/>
      <c r="N40" s="281">
        <v>0</v>
      </c>
      <c r="O40" s="281">
        <f t="shared" si="3"/>
        <v>219000</v>
      </c>
    </row>
    <row r="41" spans="3:15" x14ac:dyDescent="0.2">
      <c r="C41" s="230">
        <v>35</v>
      </c>
      <c r="D41" s="280" t="s">
        <v>275</v>
      </c>
      <c r="E41" s="563">
        <v>10</v>
      </c>
      <c r="F41" s="281">
        <v>36500</v>
      </c>
      <c r="G41" s="281">
        <f t="shared" si="0"/>
        <v>365000</v>
      </c>
      <c r="H41" s="563"/>
      <c r="I41" s="281"/>
      <c r="J41" s="281"/>
      <c r="K41" s="563"/>
      <c r="L41" s="281"/>
      <c r="M41" s="281"/>
      <c r="N41" s="281">
        <v>0</v>
      </c>
      <c r="O41" s="281">
        <f t="shared" si="3"/>
        <v>365000</v>
      </c>
    </row>
    <row r="42" spans="3:15" x14ac:dyDescent="0.2">
      <c r="C42" s="230">
        <v>36</v>
      </c>
      <c r="D42" s="280" t="s">
        <v>296</v>
      </c>
      <c r="E42" s="563">
        <v>36</v>
      </c>
      <c r="F42" s="281">
        <v>36500</v>
      </c>
      <c r="G42" s="281">
        <f t="shared" si="0"/>
        <v>1314000</v>
      </c>
      <c r="H42" s="563">
        <v>66</v>
      </c>
      <c r="I42" s="281">
        <v>140000</v>
      </c>
      <c r="J42" s="281">
        <f t="shared" si="1"/>
        <v>9240000</v>
      </c>
      <c r="K42" s="563">
        <v>12</v>
      </c>
      <c r="L42" s="281">
        <v>120000</v>
      </c>
      <c r="M42" s="281">
        <f t="shared" si="2"/>
        <v>1440000</v>
      </c>
      <c r="N42" s="281">
        <v>343200</v>
      </c>
      <c r="O42" s="281">
        <f t="shared" si="3"/>
        <v>11994000</v>
      </c>
    </row>
    <row r="43" spans="3:15" x14ac:dyDescent="0.2">
      <c r="C43" s="230">
        <v>37</v>
      </c>
      <c r="D43" s="280" t="s">
        <v>277</v>
      </c>
      <c r="E43" s="563">
        <v>36</v>
      </c>
      <c r="F43" s="281">
        <v>36500</v>
      </c>
      <c r="G43" s="281">
        <f t="shared" si="0"/>
        <v>1314000</v>
      </c>
      <c r="H43" s="563">
        <v>66</v>
      </c>
      <c r="I43" s="281">
        <v>140000</v>
      </c>
      <c r="J43" s="281">
        <f t="shared" si="1"/>
        <v>9240000</v>
      </c>
      <c r="K43" s="563">
        <v>12</v>
      </c>
      <c r="L43" s="281">
        <v>120000</v>
      </c>
      <c r="M43" s="281">
        <f t="shared" si="2"/>
        <v>1440000</v>
      </c>
      <c r="N43" s="281">
        <v>343200</v>
      </c>
      <c r="O43" s="281">
        <f t="shared" si="3"/>
        <v>11994000</v>
      </c>
    </row>
    <row r="44" spans="3:15" x14ac:dyDescent="0.2">
      <c r="C44" s="230">
        <v>38</v>
      </c>
      <c r="D44" s="280" t="s">
        <v>278</v>
      </c>
      <c r="E44" s="563">
        <v>36</v>
      </c>
      <c r="F44" s="281">
        <v>36500</v>
      </c>
      <c r="G44" s="281">
        <f t="shared" si="0"/>
        <v>1314000</v>
      </c>
      <c r="H44" s="563">
        <v>66</v>
      </c>
      <c r="I44" s="281">
        <v>140000</v>
      </c>
      <c r="J44" s="281">
        <f t="shared" si="1"/>
        <v>9240000</v>
      </c>
      <c r="K44" s="563">
        <v>12</v>
      </c>
      <c r="L44" s="281">
        <v>120000</v>
      </c>
      <c r="M44" s="281">
        <f t="shared" si="2"/>
        <v>1440000</v>
      </c>
      <c r="N44" s="281">
        <v>343200</v>
      </c>
      <c r="O44" s="281">
        <f t="shared" si="3"/>
        <v>11994000</v>
      </c>
    </row>
    <row r="45" spans="3:15" x14ac:dyDescent="0.2">
      <c r="C45" s="230">
        <v>39</v>
      </c>
      <c r="D45" s="280" t="s">
        <v>533</v>
      </c>
      <c r="E45" s="563">
        <v>6</v>
      </c>
      <c r="F45" s="281">
        <v>36500</v>
      </c>
      <c r="G45" s="281">
        <f t="shared" si="0"/>
        <v>219000</v>
      </c>
      <c r="H45" s="230"/>
      <c r="I45" s="281"/>
      <c r="J45" s="281"/>
      <c r="K45" s="230"/>
      <c r="L45" s="281"/>
      <c r="M45" s="281"/>
      <c r="N45" s="281">
        <v>0</v>
      </c>
      <c r="O45" s="281">
        <f t="shared" si="3"/>
        <v>219000</v>
      </c>
    </row>
    <row r="46" spans="3:15" x14ac:dyDescent="0.2">
      <c r="C46" s="230">
        <v>40</v>
      </c>
      <c r="D46" s="280" t="s">
        <v>280</v>
      </c>
      <c r="E46" s="230"/>
      <c r="F46" s="280"/>
      <c r="G46" s="280"/>
      <c r="H46" s="563"/>
      <c r="I46" s="281"/>
      <c r="J46" s="281"/>
      <c r="K46" s="563"/>
      <c r="L46" s="281"/>
      <c r="M46" s="281"/>
      <c r="N46" s="281">
        <v>0</v>
      </c>
      <c r="O46" s="281">
        <f t="shared" si="3"/>
        <v>0</v>
      </c>
    </row>
    <row r="47" spans="3:15" ht="24" customHeight="1" x14ac:dyDescent="0.2">
      <c r="C47" s="934" t="s">
        <v>297</v>
      </c>
      <c r="D47" s="935"/>
      <c r="E47" s="500">
        <f>SUM(E7:E46)</f>
        <v>444</v>
      </c>
      <c r="F47" s="285"/>
      <c r="G47" s="285">
        <f>SUM(G7:G46)</f>
        <v>16206000</v>
      </c>
      <c r="H47" s="500">
        <f>SUM(H7:H46)</f>
        <v>360</v>
      </c>
      <c r="I47" s="285"/>
      <c r="J47" s="285">
        <f>SUM(J7:J46)</f>
        <v>50400000</v>
      </c>
      <c r="K47" s="500">
        <f>SUM(K7:K46)</f>
        <v>68</v>
      </c>
      <c r="L47" s="285"/>
      <c r="M47" s="285">
        <f>SUM(M7:M46)</f>
        <v>8160000</v>
      </c>
      <c r="N47" s="285">
        <f>SUM(N7:N46)</f>
        <v>2059200</v>
      </c>
      <c r="O47" s="285">
        <f>+M47+J47+G47+N47</f>
        <v>76825200</v>
      </c>
    </row>
    <row r="48" spans="3:15" x14ac:dyDescent="0.2">
      <c r="C48" s="936" t="s">
        <v>372</v>
      </c>
      <c r="D48" s="937"/>
      <c r="E48" s="937"/>
      <c r="F48" s="937"/>
      <c r="G48" s="937"/>
      <c r="H48" s="949"/>
      <c r="I48" s="934" t="s">
        <v>284</v>
      </c>
      <c r="J48" s="948"/>
      <c r="K48" s="948"/>
      <c r="L48" s="948"/>
      <c r="M48" s="948"/>
      <c r="N48" s="935"/>
      <c r="O48" s="285">
        <f>SUM(O47)</f>
        <v>76825200</v>
      </c>
    </row>
    <row r="49" spans="3:15" ht="15" customHeight="1" x14ac:dyDescent="0.2">
      <c r="C49" s="938"/>
      <c r="D49" s="939"/>
      <c r="E49" s="939"/>
      <c r="F49" s="939"/>
      <c r="G49" s="939"/>
      <c r="H49" s="950"/>
      <c r="I49" s="934" t="s">
        <v>1508</v>
      </c>
      <c r="J49" s="948"/>
      <c r="K49" s="948"/>
      <c r="L49" s="948"/>
      <c r="M49" s="948"/>
      <c r="N49" s="935"/>
      <c r="O49" s="285">
        <f>+O48*0.16</f>
        <v>12292032</v>
      </c>
    </row>
    <row r="50" spans="3:15" x14ac:dyDescent="0.2">
      <c r="C50" s="940"/>
      <c r="D50" s="941"/>
      <c r="E50" s="941"/>
      <c r="F50" s="941"/>
      <c r="G50" s="941"/>
      <c r="H50" s="951"/>
      <c r="I50" s="934" t="s">
        <v>298</v>
      </c>
      <c r="J50" s="948"/>
      <c r="K50" s="948"/>
      <c r="L50" s="948"/>
      <c r="M50" s="948"/>
      <c r="N50" s="935"/>
      <c r="O50" s="285">
        <f>SUM(O48:O49)</f>
        <v>89117232</v>
      </c>
    </row>
  </sheetData>
  <mergeCells count="14">
    <mergeCell ref="C3:O3"/>
    <mergeCell ref="C4:O4"/>
    <mergeCell ref="C5:C6"/>
    <mergeCell ref="D5:D6"/>
    <mergeCell ref="E5:G5"/>
    <mergeCell ref="H5:J5"/>
    <mergeCell ref="I50:N50"/>
    <mergeCell ref="K5:M5"/>
    <mergeCell ref="O5:O6"/>
    <mergeCell ref="C47:D47"/>
    <mergeCell ref="C48:H50"/>
    <mergeCell ref="N5:N6"/>
    <mergeCell ref="I48:N48"/>
    <mergeCell ref="I49:N49"/>
  </mergeCells>
  <printOptions horizontalCentered="1"/>
  <pageMargins left="0.25" right="0.25" top="0.75" bottom="0.75" header="0.3" footer="0.3"/>
  <pageSetup paperSize="5"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view="pageLayout" zoomScaleNormal="100" workbookViewId="0">
      <selection activeCell="B14" sqref="B14"/>
    </sheetView>
  </sheetViews>
  <sheetFormatPr baseColWidth="10" defaultRowHeight="15" x14ac:dyDescent="0.25"/>
  <cols>
    <col min="1" max="1" width="7" style="11" customWidth="1"/>
    <col min="2" max="2" width="79.5703125" style="11" customWidth="1"/>
    <col min="3" max="3" width="23" style="11" customWidth="1"/>
    <col min="4" max="16384" width="11.42578125" style="11"/>
  </cols>
  <sheetData>
    <row r="1" spans="1:7" ht="15.75" x14ac:dyDescent="0.25">
      <c r="A1" s="846" t="s">
        <v>538</v>
      </c>
      <c r="B1" s="846"/>
      <c r="C1" s="846"/>
      <c r="D1" s="846"/>
      <c r="E1" s="795"/>
      <c r="F1" s="795"/>
      <c r="G1" s="795"/>
    </row>
    <row r="2" spans="1:7" ht="15.75" x14ac:dyDescent="0.25">
      <c r="A2" s="846" t="s">
        <v>1427</v>
      </c>
      <c r="B2" s="846"/>
      <c r="C2" s="846"/>
      <c r="D2" s="846"/>
      <c r="E2" s="795"/>
      <c r="F2" s="795"/>
      <c r="G2" s="795"/>
    </row>
    <row r="3" spans="1:7" x14ac:dyDescent="0.25">
      <c r="A3" s="2"/>
      <c r="B3" s="2"/>
      <c r="C3" s="2"/>
      <c r="D3" s="2"/>
    </row>
    <row r="4" spans="1:7" ht="15.75" x14ac:dyDescent="0.25">
      <c r="A4" s="846" t="s">
        <v>1982</v>
      </c>
      <c r="B4" s="846"/>
      <c r="C4" s="846"/>
      <c r="D4" s="846"/>
      <c r="E4" s="795"/>
      <c r="F4" s="795"/>
      <c r="G4" s="795"/>
    </row>
    <row r="5" spans="1:7" ht="15.75" x14ac:dyDescent="0.25">
      <c r="A5" s="846" t="s">
        <v>1983</v>
      </c>
      <c r="B5" s="846"/>
      <c r="C5" s="846"/>
      <c r="D5" s="846"/>
      <c r="E5" s="795"/>
      <c r="F5" s="795"/>
      <c r="G5" s="795"/>
    </row>
    <row r="6" spans="1:7" x14ac:dyDescent="0.25">
      <c r="A6" s="796"/>
      <c r="B6" s="796"/>
      <c r="C6" s="796"/>
      <c r="D6" s="2"/>
    </row>
    <row r="7" spans="1:7" x14ac:dyDescent="0.25">
      <c r="A7" s="785" t="s">
        <v>299</v>
      </c>
      <c r="B7" s="785" t="s">
        <v>0</v>
      </c>
      <c r="C7" s="785" t="s">
        <v>164</v>
      </c>
      <c r="D7" s="2"/>
    </row>
    <row r="8" spans="1:7" ht="65.25" customHeight="1" x14ac:dyDescent="0.25">
      <c r="A8" s="798">
        <v>1</v>
      </c>
      <c r="B8" s="798" t="s">
        <v>1984</v>
      </c>
      <c r="C8" s="800">
        <v>14711480644</v>
      </c>
      <c r="D8" s="2"/>
    </row>
    <row r="9" spans="1:7" ht="15.75" x14ac:dyDescent="0.25">
      <c r="A9" s="847" t="s">
        <v>710</v>
      </c>
      <c r="B9" s="847"/>
      <c r="C9" s="799">
        <f>C8</f>
        <v>14711480644</v>
      </c>
      <c r="D9" s="2"/>
    </row>
    <row r="10" spans="1:7" x14ac:dyDescent="0.25">
      <c r="A10" s="250"/>
    </row>
    <row r="11" spans="1:7" x14ac:dyDescent="0.25">
      <c r="A11" s="250"/>
    </row>
    <row r="12" spans="1:7" x14ac:dyDescent="0.25">
      <c r="A12" s="250"/>
    </row>
    <row r="13" spans="1:7" x14ac:dyDescent="0.25">
      <c r="A13" s="250"/>
    </row>
    <row r="14" spans="1:7" x14ac:dyDescent="0.25">
      <c r="A14" s="250"/>
    </row>
    <row r="15" spans="1:7" x14ac:dyDescent="0.25">
      <c r="A15" s="250"/>
    </row>
    <row r="16" spans="1:7" x14ac:dyDescent="0.25">
      <c r="A16" s="250"/>
    </row>
    <row r="17" spans="1:1" x14ac:dyDescent="0.25">
      <c r="A17" s="250"/>
    </row>
    <row r="18" spans="1:1" x14ac:dyDescent="0.25">
      <c r="A18" s="250"/>
    </row>
    <row r="19" spans="1:1" x14ac:dyDescent="0.25">
      <c r="A19" s="250"/>
    </row>
    <row r="20" spans="1:1" x14ac:dyDescent="0.25">
      <c r="A20" s="182"/>
    </row>
    <row r="21" spans="1:1" x14ac:dyDescent="0.25">
      <c r="A21" s="797"/>
    </row>
    <row r="22" spans="1:1" x14ac:dyDescent="0.25">
      <c r="A22" s="797"/>
    </row>
    <row r="23" spans="1:1" x14ac:dyDescent="0.25">
      <c r="A23" s="797"/>
    </row>
    <row r="24" spans="1:1" x14ac:dyDescent="0.25">
      <c r="A24" s="797"/>
    </row>
    <row r="25" spans="1:1" x14ac:dyDescent="0.25">
      <c r="A25" s="797"/>
    </row>
    <row r="26" spans="1:1" x14ac:dyDescent="0.25">
      <c r="A26" s="797"/>
    </row>
    <row r="27" spans="1:1" x14ac:dyDescent="0.25">
      <c r="A27" s="797"/>
    </row>
    <row r="28" spans="1:1" x14ac:dyDescent="0.25">
      <c r="A28" s="797"/>
    </row>
  </sheetData>
  <mergeCells count="5">
    <mergeCell ref="A2:D2"/>
    <mergeCell ref="A4:D4"/>
    <mergeCell ref="A5:D5"/>
    <mergeCell ref="A9:B9"/>
    <mergeCell ref="A1:D1"/>
  </mergeCells>
  <pageMargins left="0.7" right="0.7"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00B0F0"/>
  </sheetPr>
  <dimension ref="B3:V23"/>
  <sheetViews>
    <sheetView view="pageLayout" topLeftCell="B1" zoomScale="80" zoomScalePageLayoutView="80" workbookViewId="0">
      <selection activeCell="I21" sqref="I21"/>
    </sheetView>
  </sheetViews>
  <sheetFormatPr baseColWidth="10" defaultRowHeight="12" x14ac:dyDescent="0.2"/>
  <cols>
    <col min="1" max="1" width="11.42578125" style="568"/>
    <col min="2" max="2" width="3.85546875" style="568" customWidth="1"/>
    <col min="3" max="3" width="22.140625" style="568" bestFit="1" customWidth="1"/>
    <col min="4" max="4" width="8" style="569" customWidth="1"/>
    <col min="5" max="6" width="11.42578125" style="568"/>
    <col min="7" max="7" width="7.85546875" style="569" customWidth="1"/>
    <col min="8" max="8" width="11.42578125" style="568"/>
    <col min="9" max="9" width="11.5703125" style="568" customWidth="1"/>
    <col min="10" max="10" width="6.140625" style="569" customWidth="1"/>
    <col min="11" max="11" width="7.85546875" style="568" customWidth="1"/>
    <col min="12" max="12" width="9.85546875" style="568" customWidth="1"/>
    <col min="13" max="13" width="5" style="569" customWidth="1"/>
    <col min="14" max="14" width="8.28515625" style="568" customWidth="1"/>
    <col min="15" max="15" width="10.5703125" style="568" customWidth="1"/>
    <col min="16" max="16" width="4.5703125" style="569" customWidth="1"/>
    <col min="17" max="17" width="6.85546875" style="568" customWidth="1"/>
    <col min="18" max="18" width="10.42578125" style="568" customWidth="1"/>
    <col min="19" max="19" width="5" style="569" customWidth="1"/>
    <col min="20" max="20" width="7.140625" style="568" customWidth="1"/>
    <col min="21" max="21" width="9.5703125" style="568" customWidth="1"/>
    <col min="22" max="22" width="15.28515625" style="568" customWidth="1"/>
    <col min="23" max="16384" width="11.42578125" style="568"/>
  </cols>
  <sheetData>
    <row r="3" spans="2:22" x14ac:dyDescent="0.2">
      <c r="B3" s="867" t="s">
        <v>367</v>
      </c>
      <c r="C3" s="867"/>
      <c r="D3" s="867"/>
      <c r="E3" s="867"/>
      <c r="F3" s="867"/>
      <c r="G3" s="867"/>
      <c r="H3" s="867"/>
      <c r="I3" s="867"/>
      <c r="J3" s="867"/>
      <c r="K3" s="867"/>
      <c r="L3" s="867"/>
      <c r="M3" s="867"/>
      <c r="N3" s="867"/>
      <c r="O3" s="867"/>
      <c r="P3" s="867"/>
      <c r="Q3" s="867"/>
      <c r="R3" s="867"/>
      <c r="S3" s="867"/>
      <c r="T3" s="867"/>
      <c r="U3" s="867"/>
      <c r="V3" s="867"/>
    </row>
    <row r="4" spans="2:22" x14ac:dyDescent="0.2">
      <c r="B4" s="867" t="s">
        <v>1400</v>
      </c>
      <c r="C4" s="867"/>
      <c r="D4" s="867"/>
      <c r="E4" s="867"/>
      <c r="F4" s="867"/>
      <c r="G4" s="867"/>
      <c r="H4" s="867"/>
      <c r="I4" s="867"/>
      <c r="J4" s="867"/>
      <c r="K4" s="867"/>
      <c r="L4" s="867"/>
      <c r="M4" s="867"/>
      <c r="N4" s="867"/>
      <c r="O4" s="867"/>
      <c r="P4" s="867"/>
      <c r="Q4" s="867"/>
      <c r="R4" s="867"/>
      <c r="S4" s="867"/>
      <c r="T4" s="867"/>
      <c r="U4" s="867"/>
      <c r="V4" s="867"/>
    </row>
    <row r="5" spans="2:22" ht="49.5" customHeight="1" x14ac:dyDescent="0.2">
      <c r="B5" s="929" t="s">
        <v>368</v>
      </c>
      <c r="C5" s="929" t="s">
        <v>287</v>
      </c>
      <c r="D5" s="872" t="s">
        <v>1510</v>
      </c>
      <c r="E5" s="872"/>
      <c r="F5" s="872"/>
      <c r="G5" s="872" t="s">
        <v>369</v>
      </c>
      <c r="H5" s="872"/>
      <c r="I5" s="872"/>
      <c r="J5" s="872" t="s">
        <v>1509</v>
      </c>
      <c r="K5" s="872"/>
      <c r="L5" s="872"/>
      <c r="M5" s="872" t="s">
        <v>1511</v>
      </c>
      <c r="N5" s="872"/>
      <c r="O5" s="872"/>
      <c r="P5" s="872" t="s">
        <v>370</v>
      </c>
      <c r="Q5" s="872"/>
      <c r="R5" s="872"/>
      <c r="S5" s="872" t="s">
        <v>371</v>
      </c>
      <c r="T5" s="872"/>
      <c r="U5" s="872"/>
      <c r="V5" s="929" t="s">
        <v>283</v>
      </c>
    </row>
    <row r="6" spans="2:22" x14ac:dyDescent="0.2">
      <c r="B6" s="929"/>
      <c r="C6" s="929"/>
      <c r="D6" s="929" t="s">
        <v>2</v>
      </c>
      <c r="E6" s="929" t="s">
        <v>239</v>
      </c>
      <c r="F6" s="929" t="s">
        <v>180</v>
      </c>
      <c r="G6" s="929" t="s">
        <v>2</v>
      </c>
      <c r="H6" s="929" t="s">
        <v>239</v>
      </c>
      <c r="I6" s="929" t="s">
        <v>180</v>
      </c>
      <c r="J6" s="929" t="s">
        <v>366</v>
      </c>
      <c r="K6" s="929" t="s">
        <v>239</v>
      </c>
      <c r="L6" s="929" t="s">
        <v>180</v>
      </c>
      <c r="M6" s="929" t="s">
        <v>366</v>
      </c>
      <c r="N6" s="929" t="s">
        <v>239</v>
      </c>
      <c r="O6" s="929" t="s">
        <v>180</v>
      </c>
      <c r="P6" s="929" t="s">
        <v>366</v>
      </c>
      <c r="Q6" s="929" t="s">
        <v>239</v>
      </c>
      <c r="R6" s="929" t="s">
        <v>180</v>
      </c>
      <c r="S6" s="929" t="s">
        <v>366</v>
      </c>
      <c r="T6" s="929" t="s">
        <v>239</v>
      </c>
      <c r="U6" s="929" t="s">
        <v>180</v>
      </c>
      <c r="V6" s="929"/>
    </row>
    <row r="7" spans="2:22" ht="65.25" customHeight="1" x14ac:dyDescent="0.2">
      <c r="B7" s="929"/>
      <c r="C7" s="929"/>
      <c r="D7" s="929"/>
      <c r="E7" s="929"/>
      <c r="F7" s="929"/>
      <c r="G7" s="929"/>
      <c r="H7" s="929"/>
      <c r="I7" s="929"/>
      <c r="J7" s="929"/>
      <c r="K7" s="929"/>
      <c r="L7" s="929"/>
      <c r="M7" s="929"/>
      <c r="N7" s="929"/>
      <c r="O7" s="929"/>
      <c r="P7" s="929"/>
      <c r="Q7" s="929"/>
      <c r="R7" s="929"/>
      <c r="S7" s="929"/>
      <c r="T7" s="929"/>
      <c r="U7" s="929"/>
      <c r="V7" s="929"/>
    </row>
    <row r="8" spans="2:22" x14ac:dyDescent="0.2">
      <c r="B8" s="372">
        <v>1</v>
      </c>
      <c r="C8" s="148" t="s">
        <v>242</v>
      </c>
      <c r="D8" s="497">
        <v>30</v>
      </c>
      <c r="E8" s="204">
        <v>60900</v>
      </c>
      <c r="F8" s="204">
        <f>E8*D8</f>
        <v>1827000</v>
      </c>
      <c r="G8" s="571">
        <v>30</v>
      </c>
      <c r="H8" s="204">
        <v>11800</v>
      </c>
      <c r="I8" s="204">
        <f>H8*G8</f>
        <v>354000</v>
      </c>
      <c r="J8" s="571">
        <v>30</v>
      </c>
      <c r="K8" s="204">
        <v>15600</v>
      </c>
      <c r="L8" s="204">
        <f>+K8*J8</f>
        <v>468000</v>
      </c>
      <c r="M8" s="571">
        <v>24</v>
      </c>
      <c r="N8" s="204">
        <v>100000</v>
      </c>
      <c r="O8" s="204">
        <f>N8*M8</f>
        <v>2400000</v>
      </c>
      <c r="P8" s="571">
        <v>6</v>
      </c>
      <c r="Q8" s="204">
        <v>10000</v>
      </c>
      <c r="R8" s="204">
        <f>Q8*P8</f>
        <v>60000</v>
      </c>
      <c r="S8" s="571">
        <v>6</v>
      </c>
      <c r="T8" s="204">
        <v>95900</v>
      </c>
      <c r="U8" s="204">
        <f>T8*S8</f>
        <v>575400</v>
      </c>
      <c r="V8" s="204">
        <f>F8+I8+L8+O8+R8+U8</f>
        <v>5684400</v>
      </c>
    </row>
    <row r="9" spans="2:22" x14ac:dyDescent="0.2">
      <c r="B9" s="372">
        <v>2</v>
      </c>
      <c r="C9" s="148" t="s">
        <v>259</v>
      </c>
      <c r="D9" s="497">
        <v>20</v>
      </c>
      <c r="E9" s="204">
        <v>60900</v>
      </c>
      <c r="F9" s="204">
        <f t="shared" ref="F9:F14" si="0">E9*D9</f>
        <v>1218000</v>
      </c>
      <c r="G9" s="571">
        <v>20</v>
      </c>
      <c r="H9" s="204">
        <v>11800</v>
      </c>
      <c r="I9" s="204">
        <f t="shared" ref="I9:I14" si="1">H9*G9</f>
        <v>236000</v>
      </c>
      <c r="J9" s="571">
        <v>20</v>
      </c>
      <c r="K9" s="204">
        <v>15600</v>
      </c>
      <c r="L9" s="204">
        <f t="shared" ref="L9:L14" si="2">K9*J9</f>
        <v>312000</v>
      </c>
      <c r="M9" s="571">
        <v>24</v>
      </c>
      <c r="N9" s="204">
        <v>100000</v>
      </c>
      <c r="O9" s="204">
        <f t="shared" ref="O9:O14" si="3">N9*M9</f>
        <v>2400000</v>
      </c>
      <c r="P9" s="571">
        <v>6</v>
      </c>
      <c r="Q9" s="204">
        <v>10000</v>
      </c>
      <c r="R9" s="204">
        <f t="shared" ref="R9:R14" si="4">Q9*P9</f>
        <v>60000</v>
      </c>
      <c r="S9" s="571">
        <v>6</v>
      </c>
      <c r="T9" s="204">
        <v>95900</v>
      </c>
      <c r="U9" s="204">
        <f t="shared" ref="U9:U14" si="5">T9*S9</f>
        <v>575400</v>
      </c>
      <c r="V9" s="204">
        <f t="shared" ref="V9:V14" si="6">F9+I9+L9+O9+R9+U9</f>
        <v>4801400</v>
      </c>
    </row>
    <row r="10" spans="2:22" x14ac:dyDescent="0.2">
      <c r="B10" s="372">
        <v>3</v>
      </c>
      <c r="C10" s="148" t="s">
        <v>265</v>
      </c>
      <c r="D10" s="497">
        <v>30</v>
      </c>
      <c r="E10" s="204">
        <v>60900</v>
      </c>
      <c r="F10" s="204">
        <f t="shared" si="0"/>
        <v>1827000</v>
      </c>
      <c r="G10" s="571">
        <v>30</v>
      </c>
      <c r="H10" s="204">
        <v>11800</v>
      </c>
      <c r="I10" s="204">
        <f t="shared" si="1"/>
        <v>354000</v>
      </c>
      <c r="J10" s="571">
        <v>30</v>
      </c>
      <c r="K10" s="204">
        <v>15600</v>
      </c>
      <c r="L10" s="204">
        <f t="shared" si="2"/>
        <v>468000</v>
      </c>
      <c r="M10" s="571">
        <v>24</v>
      </c>
      <c r="N10" s="204">
        <v>100000</v>
      </c>
      <c r="O10" s="204">
        <f t="shared" si="3"/>
        <v>2400000</v>
      </c>
      <c r="P10" s="571">
        <v>6</v>
      </c>
      <c r="Q10" s="204">
        <v>10000</v>
      </c>
      <c r="R10" s="204">
        <f t="shared" si="4"/>
        <v>60000</v>
      </c>
      <c r="S10" s="571">
        <v>6</v>
      </c>
      <c r="T10" s="204">
        <v>95900</v>
      </c>
      <c r="U10" s="204">
        <f t="shared" si="5"/>
        <v>575400</v>
      </c>
      <c r="V10" s="204">
        <f t="shared" si="6"/>
        <v>5684400</v>
      </c>
    </row>
    <row r="11" spans="2:22" x14ac:dyDescent="0.2">
      <c r="B11" s="372">
        <v>4</v>
      </c>
      <c r="C11" s="148" t="s">
        <v>296</v>
      </c>
      <c r="D11" s="497">
        <v>30</v>
      </c>
      <c r="E11" s="204">
        <v>60900</v>
      </c>
      <c r="F11" s="204">
        <f t="shared" si="0"/>
        <v>1827000</v>
      </c>
      <c r="G11" s="571">
        <v>30</v>
      </c>
      <c r="H11" s="204">
        <v>11800</v>
      </c>
      <c r="I11" s="204">
        <f t="shared" si="1"/>
        <v>354000</v>
      </c>
      <c r="J11" s="571">
        <v>30</v>
      </c>
      <c r="K11" s="204">
        <v>15600</v>
      </c>
      <c r="L11" s="204">
        <f t="shared" si="2"/>
        <v>468000</v>
      </c>
      <c r="M11" s="571">
        <v>30</v>
      </c>
      <c r="N11" s="204">
        <v>100000</v>
      </c>
      <c r="O11" s="204">
        <f t="shared" si="3"/>
        <v>3000000</v>
      </c>
      <c r="P11" s="571">
        <v>6</v>
      </c>
      <c r="Q11" s="204">
        <v>10000</v>
      </c>
      <c r="R11" s="204">
        <f t="shared" si="4"/>
        <v>60000</v>
      </c>
      <c r="S11" s="571">
        <v>6</v>
      </c>
      <c r="T11" s="204">
        <v>95900</v>
      </c>
      <c r="U11" s="204">
        <f t="shared" si="5"/>
        <v>575400</v>
      </c>
      <c r="V11" s="204">
        <f t="shared" si="6"/>
        <v>6284400</v>
      </c>
    </row>
    <row r="12" spans="2:22" x14ac:dyDescent="0.2">
      <c r="B12" s="372">
        <v>5</v>
      </c>
      <c r="C12" s="148" t="s">
        <v>277</v>
      </c>
      <c r="D12" s="497">
        <v>30</v>
      </c>
      <c r="E12" s="204">
        <v>60900</v>
      </c>
      <c r="F12" s="204">
        <f t="shared" si="0"/>
        <v>1827000</v>
      </c>
      <c r="G12" s="571">
        <v>30</v>
      </c>
      <c r="H12" s="204">
        <v>11800</v>
      </c>
      <c r="I12" s="204">
        <f t="shared" si="1"/>
        <v>354000</v>
      </c>
      <c r="J12" s="571">
        <v>30</v>
      </c>
      <c r="K12" s="204">
        <v>15600</v>
      </c>
      <c r="L12" s="204">
        <f t="shared" si="2"/>
        <v>468000</v>
      </c>
      <c r="M12" s="571">
        <v>30</v>
      </c>
      <c r="N12" s="204">
        <v>100000</v>
      </c>
      <c r="O12" s="204">
        <f t="shared" si="3"/>
        <v>3000000</v>
      </c>
      <c r="P12" s="571">
        <v>6</v>
      </c>
      <c r="Q12" s="204">
        <v>10000</v>
      </c>
      <c r="R12" s="204">
        <f t="shared" si="4"/>
        <v>60000</v>
      </c>
      <c r="S12" s="571">
        <v>6</v>
      </c>
      <c r="T12" s="204">
        <v>95900</v>
      </c>
      <c r="U12" s="204">
        <f t="shared" si="5"/>
        <v>575400</v>
      </c>
      <c r="V12" s="204">
        <f t="shared" si="6"/>
        <v>6284400</v>
      </c>
    </row>
    <row r="13" spans="2:22" x14ac:dyDescent="0.2">
      <c r="B13" s="372">
        <v>6</v>
      </c>
      <c r="C13" s="148" t="s">
        <v>278</v>
      </c>
      <c r="D13" s="497">
        <v>30</v>
      </c>
      <c r="E13" s="204">
        <v>60900</v>
      </c>
      <c r="F13" s="204">
        <f t="shared" si="0"/>
        <v>1827000</v>
      </c>
      <c r="G13" s="571">
        <v>30</v>
      </c>
      <c r="H13" s="204">
        <v>11800</v>
      </c>
      <c r="I13" s="204">
        <f t="shared" si="1"/>
        <v>354000</v>
      </c>
      <c r="J13" s="571">
        <v>30</v>
      </c>
      <c r="K13" s="204">
        <v>15600</v>
      </c>
      <c r="L13" s="204">
        <f t="shared" si="2"/>
        <v>468000</v>
      </c>
      <c r="M13" s="571">
        <v>30</v>
      </c>
      <c r="N13" s="204">
        <v>100000</v>
      </c>
      <c r="O13" s="204">
        <f t="shared" si="3"/>
        <v>3000000</v>
      </c>
      <c r="P13" s="571">
        <v>6</v>
      </c>
      <c r="Q13" s="204">
        <v>10000</v>
      </c>
      <c r="R13" s="204">
        <f t="shared" si="4"/>
        <v>60000</v>
      </c>
      <c r="S13" s="571">
        <v>6</v>
      </c>
      <c r="T13" s="204">
        <v>95900</v>
      </c>
      <c r="U13" s="204">
        <f t="shared" si="5"/>
        <v>575400</v>
      </c>
      <c r="V13" s="204">
        <f t="shared" si="6"/>
        <v>6284400</v>
      </c>
    </row>
    <row r="14" spans="2:22" x14ac:dyDescent="0.2">
      <c r="B14" s="372">
        <v>7</v>
      </c>
      <c r="C14" s="148" t="s">
        <v>280</v>
      </c>
      <c r="D14" s="492"/>
      <c r="E14" s="192">
        <v>0</v>
      </c>
      <c r="F14" s="204">
        <f t="shared" si="0"/>
        <v>0</v>
      </c>
      <c r="G14" s="571"/>
      <c r="H14" s="373">
        <v>0</v>
      </c>
      <c r="I14" s="204">
        <f t="shared" si="1"/>
        <v>0</v>
      </c>
      <c r="J14" s="571"/>
      <c r="K14" s="373">
        <v>0</v>
      </c>
      <c r="L14" s="204">
        <f t="shared" si="2"/>
        <v>0</v>
      </c>
      <c r="M14" s="571"/>
      <c r="N14" s="373">
        <v>0</v>
      </c>
      <c r="O14" s="204">
        <f t="shared" si="3"/>
        <v>0</v>
      </c>
      <c r="P14" s="571">
        <v>50</v>
      </c>
      <c r="Q14" s="204">
        <v>10000</v>
      </c>
      <c r="R14" s="204">
        <f t="shared" si="4"/>
        <v>500000</v>
      </c>
      <c r="S14" s="571">
        <v>50</v>
      </c>
      <c r="T14" s="204">
        <v>95900</v>
      </c>
      <c r="U14" s="204">
        <f t="shared" si="5"/>
        <v>4795000</v>
      </c>
      <c r="V14" s="204">
        <f t="shared" si="6"/>
        <v>5295000</v>
      </c>
    </row>
    <row r="15" spans="2:22" x14ac:dyDescent="0.2">
      <c r="B15" s="956" t="s">
        <v>297</v>
      </c>
      <c r="C15" s="957"/>
      <c r="D15" s="497">
        <f>SUM(D8:D14)</f>
        <v>170</v>
      </c>
      <c r="E15" s="958">
        <f>SUM(F8:F14)</f>
        <v>10353000</v>
      </c>
      <c r="F15" s="959"/>
      <c r="G15" s="571">
        <f>SUM(G8:G14)</f>
        <v>170</v>
      </c>
      <c r="H15" s="192"/>
      <c r="I15" s="564">
        <f>SUM(I8:I14)</f>
        <v>2006000</v>
      </c>
      <c r="J15" s="571">
        <f>SUM(J8:J14)</f>
        <v>170</v>
      </c>
      <c r="K15" s="958">
        <f>SUM(L8:L14)</f>
        <v>2652000</v>
      </c>
      <c r="L15" s="959"/>
      <c r="M15" s="571">
        <f>SUM(M8:M14)</f>
        <v>162</v>
      </c>
      <c r="N15" s="958">
        <f>SUM(O8:O14)</f>
        <v>16200000</v>
      </c>
      <c r="O15" s="959"/>
      <c r="P15" s="571">
        <f>SUM(P8:P14)</f>
        <v>86</v>
      </c>
      <c r="Q15" s="192"/>
      <c r="R15" s="192">
        <f>SUM(R8:R14)</f>
        <v>860000</v>
      </c>
      <c r="S15" s="345">
        <f>SUM(S8:S14)</f>
        <v>86</v>
      </c>
      <c r="T15" s="960">
        <f>SUM(U8:U14)</f>
        <v>8247400</v>
      </c>
      <c r="U15" s="961"/>
      <c r="V15" s="196">
        <f>SUM(V8:V14)</f>
        <v>40318400</v>
      </c>
    </row>
    <row r="16" spans="2:22" x14ac:dyDescent="0.2">
      <c r="B16" s="565"/>
      <c r="C16" s="565"/>
      <c r="D16" s="570"/>
      <c r="E16" s="565"/>
      <c r="F16" s="565"/>
      <c r="G16" s="570"/>
      <c r="H16" s="565"/>
      <c r="I16" s="565"/>
      <c r="J16" s="570"/>
      <c r="K16" s="565"/>
      <c r="L16" s="565"/>
      <c r="M16" s="570"/>
      <c r="N16" s="565"/>
      <c r="O16" s="565"/>
      <c r="P16" s="570"/>
      <c r="Q16" s="868" t="s">
        <v>284</v>
      </c>
      <c r="R16" s="869"/>
      <c r="S16" s="869"/>
      <c r="T16" s="869"/>
      <c r="U16" s="870"/>
      <c r="V16" s="196">
        <f>V15</f>
        <v>40318400</v>
      </c>
    </row>
    <row r="17" spans="2:22" x14ac:dyDescent="0.2">
      <c r="B17" s="566"/>
      <c r="C17" s="911"/>
      <c r="D17" s="911"/>
      <c r="E17" s="911"/>
      <c r="F17" s="911"/>
      <c r="G17" s="911"/>
      <c r="H17" s="911"/>
      <c r="I17" s="566"/>
      <c r="J17" s="572"/>
      <c r="K17" s="566"/>
      <c r="L17" s="566"/>
      <c r="M17" s="572"/>
      <c r="N17" s="566"/>
      <c r="O17" s="566"/>
      <c r="P17" s="572"/>
      <c r="Q17" s="868" t="s">
        <v>159</v>
      </c>
      <c r="R17" s="869"/>
      <c r="S17" s="869"/>
      <c r="T17" s="869"/>
      <c r="U17" s="870"/>
      <c r="V17" s="196">
        <f>+V16*0.16</f>
        <v>6450944</v>
      </c>
    </row>
    <row r="18" spans="2:22" x14ac:dyDescent="0.2">
      <c r="B18" s="566"/>
      <c r="C18" s="955"/>
      <c r="D18" s="955"/>
      <c r="E18" s="955"/>
      <c r="F18" s="955"/>
      <c r="G18" s="955"/>
      <c r="H18" s="955"/>
      <c r="I18" s="566"/>
      <c r="J18" s="572"/>
      <c r="K18" s="566"/>
      <c r="L18" s="566"/>
      <c r="M18" s="572"/>
      <c r="N18" s="566"/>
      <c r="O18" s="566"/>
      <c r="P18" s="572"/>
      <c r="Q18" s="868" t="s">
        <v>298</v>
      </c>
      <c r="R18" s="869"/>
      <c r="S18" s="869"/>
      <c r="T18" s="869"/>
      <c r="U18" s="870"/>
      <c r="V18" s="196">
        <f>SUM(V16:V17)</f>
        <v>46769344</v>
      </c>
    </row>
    <row r="20" spans="2:22" x14ac:dyDescent="0.2">
      <c r="Q20" s="952" t="s">
        <v>161</v>
      </c>
      <c r="R20" s="953"/>
      <c r="S20" s="953"/>
      <c r="T20" s="953"/>
      <c r="U20" s="954"/>
      <c r="V20" s="556">
        <f>+V18+'31. ROPA DE MAYO  II'!O50+'31. ROPA DE MAYO I '!P50</f>
        <v>213478396</v>
      </c>
    </row>
    <row r="23" spans="2:22" x14ac:dyDescent="0.2">
      <c r="E23" s="450"/>
    </row>
  </sheetData>
  <mergeCells count="40">
    <mergeCell ref="B3:V3"/>
    <mergeCell ref="B4:V4"/>
    <mergeCell ref="B5:B7"/>
    <mergeCell ref="C5:C7"/>
    <mergeCell ref="D5:F5"/>
    <mergeCell ref="G5:I5"/>
    <mergeCell ref="J5:L5"/>
    <mergeCell ref="M5:O5"/>
    <mergeCell ref="P5:R5"/>
    <mergeCell ref="S5:U5"/>
    <mergeCell ref="D6:D7"/>
    <mergeCell ref="E6:E7"/>
    <mergeCell ref="H6:H7"/>
    <mergeCell ref="O6:O7"/>
    <mergeCell ref="P6:P7"/>
    <mergeCell ref="I6:I7"/>
    <mergeCell ref="K6:K7"/>
    <mergeCell ref="L6:L7"/>
    <mergeCell ref="V5:V7"/>
    <mergeCell ref="C17:H17"/>
    <mergeCell ref="N6:N7"/>
    <mergeCell ref="Q6:Q7"/>
    <mergeCell ref="R6:R7"/>
    <mergeCell ref="Q16:U16"/>
    <mergeCell ref="Q18:U18"/>
    <mergeCell ref="Q20:U20"/>
    <mergeCell ref="C18:H18"/>
    <mergeCell ref="Q17:U17"/>
    <mergeCell ref="S6:S7"/>
    <mergeCell ref="T6:T7"/>
    <mergeCell ref="U6:U7"/>
    <mergeCell ref="B15:C15"/>
    <mergeCell ref="E15:F15"/>
    <mergeCell ref="K15:L15"/>
    <mergeCell ref="N15:O15"/>
    <mergeCell ref="F6:F7"/>
    <mergeCell ref="G6:G7"/>
    <mergeCell ref="T15:U15"/>
    <mergeCell ref="M6:M7"/>
    <mergeCell ref="J6:J7"/>
  </mergeCells>
  <printOptions horizontalCentered="1"/>
  <pageMargins left="1.2" right="0.49" top="0.75" bottom="1.29" header="0.3" footer="0.91"/>
  <pageSetup paperSize="5" scale="7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00B0F0"/>
  </sheetPr>
  <dimension ref="B3:E51"/>
  <sheetViews>
    <sheetView view="pageLayout" zoomScale="93" zoomScalePageLayoutView="93" workbookViewId="0">
      <selection activeCell="D10" sqref="D10"/>
    </sheetView>
  </sheetViews>
  <sheetFormatPr baseColWidth="10" defaultRowHeight="15" x14ac:dyDescent="0.25"/>
  <cols>
    <col min="1" max="1" width="7.28515625" style="145" customWidth="1"/>
    <col min="2" max="2" width="54" style="145" customWidth="1"/>
    <col min="3" max="3" width="8.28515625" style="145" customWidth="1"/>
    <col min="4" max="4" width="11.42578125" style="145"/>
    <col min="5" max="5" width="13.7109375" style="145" bestFit="1" customWidth="1"/>
    <col min="6" max="16384" width="11.42578125" style="145"/>
  </cols>
  <sheetData>
    <row r="3" spans="2:5" x14ac:dyDescent="0.25">
      <c r="B3" s="963" t="s">
        <v>373</v>
      </c>
      <c r="C3" s="963"/>
      <c r="D3" s="963"/>
      <c r="E3" s="963"/>
    </row>
    <row r="4" spans="2:5" x14ac:dyDescent="0.25">
      <c r="B4" s="931" t="s">
        <v>1401</v>
      </c>
      <c r="C4" s="931"/>
      <c r="D4" s="931"/>
      <c r="E4" s="931"/>
    </row>
    <row r="5" spans="2:5" x14ac:dyDescent="0.25">
      <c r="B5" s="161" t="s">
        <v>374</v>
      </c>
      <c r="C5" s="161" t="s">
        <v>162</v>
      </c>
      <c r="D5" s="161" t="s">
        <v>375</v>
      </c>
      <c r="E5" s="161" t="s">
        <v>376</v>
      </c>
    </row>
    <row r="6" spans="2:5" s="152" customFormat="1" ht="16.5" customHeight="1" x14ac:dyDescent="0.25">
      <c r="B6" s="573" t="s">
        <v>377</v>
      </c>
      <c r="C6" s="506">
        <v>0</v>
      </c>
      <c r="D6" s="574">
        <v>131040</v>
      </c>
      <c r="E6" s="574">
        <f>C6*D6</f>
        <v>0</v>
      </c>
    </row>
    <row r="7" spans="2:5" s="152" customFormat="1" ht="16.5" customHeight="1" x14ac:dyDescent="0.25">
      <c r="B7" s="573" t="s">
        <v>378</v>
      </c>
      <c r="C7" s="506">
        <v>0</v>
      </c>
      <c r="D7" s="574">
        <v>131040</v>
      </c>
      <c r="E7" s="574">
        <f t="shared" ref="E7:E45" si="0">C7*D7</f>
        <v>0</v>
      </c>
    </row>
    <row r="8" spans="2:5" s="152" customFormat="1" ht="16.5" customHeight="1" x14ac:dyDescent="0.25">
      <c r="B8" s="575" t="s">
        <v>379</v>
      </c>
      <c r="C8" s="506">
        <v>0</v>
      </c>
      <c r="D8" s="574">
        <v>35120.400000000001</v>
      </c>
      <c r="E8" s="574">
        <f t="shared" si="0"/>
        <v>0</v>
      </c>
    </row>
    <row r="9" spans="2:5" s="152" customFormat="1" ht="16.5" customHeight="1" x14ac:dyDescent="0.25">
      <c r="B9" s="575" t="s">
        <v>380</v>
      </c>
      <c r="C9" s="506">
        <v>24</v>
      </c>
      <c r="D9" s="574">
        <v>181617.45</v>
      </c>
      <c r="E9" s="574">
        <f t="shared" si="0"/>
        <v>4358818.8000000007</v>
      </c>
    </row>
    <row r="10" spans="2:5" s="152" customFormat="1" ht="16.5" customHeight="1" x14ac:dyDescent="0.25">
      <c r="B10" s="575" t="s">
        <v>381</v>
      </c>
      <c r="C10" s="506">
        <v>18</v>
      </c>
      <c r="D10" s="574">
        <v>168000</v>
      </c>
      <c r="E10" s="574">
        <f t="shared" si="0"/>
        <v>3024000</v>
      </c>
    </row>
    <row r="11" spans="2:5" ht="16.5" customHeight="1" x14ac:dyDescent="0.25">
      <c r="B11" s="575" t="s">
        <v>382</v>
      </c>
      <c r="C11" s="506">
        <v>0</v>
      </c>
      <c r="D11" s="574">
        <v>178731</v>
      </c>
      <c r="E11" s="574">
        <f t="shared" si="0"/>
        <v>0</v>
      </c>
    </row>
    <row r="12" spans="2:5" ht="16.5" customHeight="1" x14ac:dyDescent="0.25">
      <c r="B12" s="575" t="s">
        <v>383</v>
      </c>
      <c r="C12" s="506">
        <v>0</v>
      </c>
      <c r="D12" s="574">
        <v>73609.2</v>
      </c>
      <c r="E12" s="574">
        <f t="shared" si="0"/>
        <v>0</v>
      </c>
    </row>
    <row r="13" spans="2:5" ht="16.5" customHeight="1" x14ac:dyDescent="0.25">
      <c r="B13" s="575" t="s">
        <v>384</v>
      </c>
      <c r="C13" s="506">
        <v>0</v>
      </c>
      <c r="D13" s="574">
        <v>73609.2</v>
      </c>
      <c r="E13" s="574">
        <f t="shared" si="0"/>
        <v>0</v>
      </c>
    </row>
    <row r="14" spans="2:5" ht="16.5" customHeight="1" x14ac:dyDescent="0.25">
      <c r="B14" s="575" t="s">
        <v>385</v>
      </c>
      <c r="C14" s="506">
        <v>6</v>
      </c>
      <c r="D14" s="574">
        <v>156000</v>
      </c>
      <c r="E14" s="574">
        <f t="shared" si="0"/>
        <v>936000</v>
      </c>
    </row>
    <row r="15" spans="2:5" ht="16.5" customHeight="1" x14ac:dyDescent="0.25">
      <c r="B15" s="573" t="s">
        <v>386</v>
      </c>
      <c r="C15" s="506">
        <v>18</v>
      </c>
      <c r="D15" s="574">
        <v>135000</v>
      </c>
      <c r="E15" s="574">
        <f t="shared" si="0"/>
        <v>2430000</v>
      </c>
    </row>
    <row r="16" spans="2:5" ht="16.5" customHeight="1" x14ac:dyDescent="0.25">
      <c r="B16" s="575" t="s">
        <v>387</v>
      </c>
      <c r="C16" s="506">
        <v>200</v>
      </c>
      <c r="D16" s="574">
        <v>68851</v>
      </c>
      <c r="E16" s="574">
        <f t="shared" si="0"/>
        <v>13770200</v>
      </c>
    </row>
    <row r="17" spans="2:5" ht="16.5" customHeight="1" x14ac:dyDescent="0.25">
      <c r="B17" s="575" t="s">
        <v>388</v>
      </c>
      <c r="C17" s="506">
        <v>20</v>
      </c>
      <c r="D17" s="574">
        <v>71925</v>
      </c>
      <c r="E17" s="574">
        <f t="shared" si="0"/>
        <v>1438500</v>
      </c>
    </row>
    <row r="18" spans="2:5" ht="16.5" customHeight="1" x14ac:dyDescent="0.25">
      <c r="B18" s="575" t="s">
        <v>389</v>
      </c>
      <c r="C18" s="506">
        <v>20</v>
      </c>
      <c r="D18" s="574">
        <v>71925</v>
      </c>
      <c r="E18" s="574">
        <f t="shared" si="0"/>
        <v>1438500</v>
      </c>
    </row>
    <row r="19" spans="2:5" ht="16.5" customHeight="1" x14ac:dyDescent="0.25">
      <c r="B19" s="575" t="s">
        <v>1683</v>
      </c>
      <c r="C19" s="506">
        <v>0</v>
      </c>
      <c r="D19" s="574">
        <v>72165.45</v>
      </c>
      <c r="E19" s="574">
        <f t="shared" si="0"/>
        <v>0</v>
      </c>
    </row>
    <row r="20" spans="2:5" ht="16.5" customHeight="1" x14ac:dyDescent="0.25">
      <c r="B20" s="575" t="s">
        <v>1682</v>
      </c>
      <c r="C20" s="506">
        <v>15</v>
      </c>
      <c r="D20" s="574">
        <v>325000</v>
      </c>
      <c r="E20" s="574">
        <f t="shared" si="0"/>
        <v>4875000</v>
      </c>
    </row>
    <row r="21" spans="2:5" ht="16.5" customHeight="1" x14ac:dyDescent="0.25">
      <c r="B21" s="575" t="s">
        <v>390</v>
      </c>
      <c r="C21" s="506">
        <v>30</v>
      </c>
      <c r="D21" s="574">
        <v>354900</v>
      </c>
      <c r="E21" s="574">
        <f t="shared" si="0"/>
        <v>10647000</v>
      </c>
    </row>
    <row r="22" spans="2:5" ht="16.5" customHeight="1" x14ac:dyDescent="0.25">
      <c r="B22" s="575" t="s">
        <v>391</v>
      </c>
      <c r="C22" s="506">
        <v>20</v>
      </c>
      <c r="D22" s="574">
        <v>71925</v>
      </c>
      <c r="E22" s="574">
        <f t="shared" si="0"/>
        <v>1438500</v>
      </c>
    </row>
    <row r="23" spans="2:5" ht="16.5" customHeight="1" x14ac:dyDescent="0.25">
      <c r="B23" s="575" t="s">
        <v>392</v>
      </c>
      <c r="C23" s="506">
        <v>30</v>
      </c>
      <c r="D23" s="574">
        <v>15600</v>
      </c>
      <c r="E23" s="574">
        <f t="shared" si="0"/>
        <v>468000</v>
      </c>
    </row>
    <row r="24" spans="2:5" ht="16.5" customHeight="1" x14ac:dyDescent="0.25">
      <c r="B24" s="575" t="s">
        <v>393</v>
      </c>
      <c r="C24" s="506">
        <v>200</v>
      </c>
      <c r="D24" s="574">
        <v>52000</v>
      </c>
      <c r="E24" s="574">
        <f t="shared" si="0"/>
        <v>10400000</v>
      </c>
    </row>
    <row r="25" spans="2:5" ht="16.5" customHeight="1" x14ac:dyDescent="0.25">
      <c r="B25" s="573" t="s">
        <v>394</v>
      </c>
      <c r="C25" s="506">
        <v>0</v>
      </c>
      <c r="D25" s="574">
        <v>786240</v>
      </c>
      <c r="E25" s="574">
        <f t="shared" si="0"/>
        <v>0</v>
      </c>
    </row>
    <row r="26" spans="2:5" ht="16.5" customHeight="1" x14ac:dyDescent="0.25">
      <c r="B26" s="573" t="s">
        <v>395</v>
      </c>
      <c r="C26" s="506">
        <v>0</v>
      </c>
      <c r="D26" s="574">
        <v>786240</v>
      </c>
      <c r="E26" s="574">
        <f t="shared" si="0"/>
        <v>0</v>
      </c>
    </row>
    <row r="27" spans="2:5" ht="16.5" customHeight="1" x14ac:dyDescent="0.25">
      <c r="B27" s="573" t="s">
        <v>396</v>
      </c>
      <c r="C27" s="506">
        <v>0</v>
      </c>
      <c r="D27" s="574">
        <v>8190</v>
      </c>
      <c r="E27" s="574">
        <f t="shared" si="0"/>
        <v>0</v>
      </c>
    </row>
    <row r="28" spans="2:5" ht="16.5" customHeight="1" x14ac:dyDescent="0.25">
      <c r="B28" s="575" t="s">
        <v>397</v>
      </c>
      <c r="C28" s="506">
        <v>0</v>
      </c>
      <c r="D28" s="574">
        <v>3822</v>
      </c>
      <c r="E28" s="574">
        <f t="shared" si="0"/>
        <v>0</v>
      </c>
    </row>
    <row r="29" spans="2:5" ht="16.5" customHeight="1" x14ac:dyDescent="0.25">
      <c r="B29" s="575" t="s">
        <v>398</v>
      </c>
      <c r="C29" s="506">
        <v>15</v>
      </c>
      <c r="D29" s="574">
        <v>496860</v>
      </c>
      <c r="E29" s="574">
        <f t="shared" si="0"/>
        <v>7452900</v>
      </c>
    </row>
    <row r="30" spans="2:5" ht="16.5" customHeight="1" x14ac:dyDescent="0.25">
      <c r="B30" s="575" t="s">
        <v>399</v>
      </c>
      <c r="C30" s="506">
        <v>15</v>
      </c>
      <c r="D30" s="574">
        <v>397488</v>
      </c>
      <c r="E30" s="574">
        <f t="shared" si="0"/>
        <v>5962320</v>
      </c>
    </row>
    <row r="31" spans="2:5" ht="16.5" customHeight="1" x14ac:dyDescent="0.25">
      <c r="B31" s="575" t="s">
        <v>400</v>
      </c>
      <c r="C31" s="506">
        <v>15</v>
      </c>
      <c r="D31" s="574">
        <v>425880</v>
      </c>
      <c r="E31" s="574">
        <f t="shared" si="0"/>
        <v>6388200</v>
      </c>
    </row>
    <row r="32" spans="2:5" ht="16.5" customHeight="1" x14ac:dyDescent="0.25">
      <c r="B32" s="575" t="s">
        <v>401</v>
      </c>
      <c r="C32" s="506">
        <v>20</v>
      </c>
      <c r="D32" s="574">
        <v>117000</v>
      </c>
      <c r="E32" s="574">
        <f t="shared" si="0"/>
        <v>2340000</v>
      </c>
    </row>
    <row r="33" spans="2:5" ht="16.5" customHeight="1" x14ac:dyDescent="0.25">
      <c r="B33" s="575" t="s">
        <v>402</v>
      </c>
      <c r="C33" s="506">
        <v>20</v>
      </c>
      <c r="D33" s="574">
        <v>91000</v>
      </c>
      <c r="E33" s="574">
        <f t="shared" si="0"/>
        <v>1820000</v>
      </c>
    </row>
    <row r="34" spans="2:5" ht="16.5" customHeight="1" x14ac:dyDescent="0.25">
      <c r="B34" s="575" t="s">
        <v>403</v>
      </c>
      <c r="C34" s="506">
        <v>20</v>
      </c>
      <c r="D34" s="574">
        <v>117000</v>
      </c>
      <c r="E34" s="574">
        <f t="shared" si="0"/>
        <v>2340000</v>
      </c>
    </row>
    <row r="35" spans="2:5" ht="16.5" customHeight="1" x14ac:dyDescent="0.25">
      <c r="B35" s="575" t="s">
        <v>404</v>
      </c>
      <c r="C35" s="506">
        <v>20</v>
      </c>
      <c r="D35" s="574">
        <v>91000</v>
      </c>
      <c r="E35" s="574">
        <f t="shared" si="0"/>
        <v>1820000</v>
      </c>
    </row>
    <row r="36" spans="2:5" ht="16.5" customHeight="1" x14ac:dyDescent="0.25">
      <c r="B36" s="575" t="s">
        <v>405</v>
      </c>
      <c r="C36" s="506">
        <v>10</v>
      </c>
      <c r="D36" s="574">
        <v>41496</v>
      </c>
      <c r="E36" s="574">
        <f t="shared" si="0"/>
        <v>414960</v>
      </c>
    </row>
    <row r="37" spans="2:5" ht="16.5" customHeight="1" x14ac:dyDescent="0.25">
      <c r="B37" s="575" t="s">
        <v>406</v>
      </c>
      <c r="C37" s="506">
        <v>600</v>
      </c>
      <c r="D37" s="574">
        <v>49686</v>
      </c>
      <c r="E37" s="574">
        <f t="shared" si="0"/>
        <v>29811600</v>
      </c>
    </row>
    <row r="38" spans="2:5" ht="15" customHeight="1" x14ac:dyDescent="0.25">
      <c r="B38" s="576" t="s">
        <v>407</v>
      </c>
      <c r="C38" s="506">
        <v>4</v>
      </c>
      <c r="D38" s="574">
        <v>959000</v>
      </c>
      <c r="E38" s="574">
        <f t="shared" si="0"/>
        <v>3836000</v>
      </c>
    </row>
    <row r="39" spans="2:5" ht="16.5" customHeight="1" x14ac:dyDescent="0.25">
      <c r="B39" s="575" t="s">
        <v>408</v>
      </c>
      <c r="C39" s="506">
        <v>4</v>
      </c>
      <c r="D39" s="574">
        <v>959000</v>
      </c>
      <c r="E39" s="574">
        <f t="shared" si="0"/>
        <v>3836000</v>
      </c>
    </row>
    <row r="40" spans="2:5" ht="16.5" customHeight="1" x14ac:dyDescent="0.25">
      <c r="B40" s="575" t="s">
        <v>409</v>
      </c>
      <c r="C40" s="506">
        <v>4</v>
      </c>
      <c r="D40" s="574">
        <v>959000</v>
      </c>
      <c r="E40" s="574">
        <f t="shared" si="0"/>
        <v>3836000</v>
      </c>
    </row>
    <row r="41" spans="2:5" ht="16.5" customHeight="1" x14ac:dyDescent="0.25">
      <c r="B41" s="575" t="s">
        <v>410</v>
      </c>
      <c r="C41" s="506">
        <v>4</v>
      </c>
      <c r="D41" s="574">
        <v>959000</v>
      </c>
      <c r="E41" s="574">
        <f t="shared" si="0"/>
        <v>3836000</v>
      </c>
    </row>
    <row r="42" spans="2:5" ht="16.5" customHeight="1" x14ac:dyDescent="0.25">
      <c r="B42" s="575" t="s">
        <v>411</v>
      </c>
      <c r="C42" s="506">
        <v>4</v>
      </c>
      <c r="D42" s="574">
        <v>959000</v>
      </c>
      <c r="E42" s="574">
        <f t="shared" si="0"/>
        <v>3836000</v>
      </c>
    </row>
    <row r="43" spans="2:5" ht="16.5" customHeight="1" x14ac:dyDescent="0.25">
      <c r="B43" s="575" t="s">
        <v>412</v>
      </c>
      <c r="C43" s="506">
        <v>4</v>
      </c>
      <c r="D43" s="574">
        <v>959000</v>
      </c>
      <c r="E43" s="574">
        <f t="shared" si="0"/>
        <v>3836000</v>
      </c>
    </row>
    <row r="44" spans="2:5" ht="16.5" customHeight="1" x14ac:dyDescent="0.25">
      <c r="B44" s="575" t="s">
        <v>413</v>
      </c>
      <c r="C44" s="506">
        <v>20</v>
      </c>
      <c r="D44" s="574">
        <v>45492</v>
      </c>
      <c r="E44" s="574">
        <f t="shared" si="0"/>
        <v>909840</v>
      </c>
    </row>
    <row r="45" spans="2:5" ht="16.5" customHeight="1" x14ac:dyDescent="0.25">
      <c r="B45" s="575" t="s">
        <v>414</v>
      </c>
      <c r="C45" s="509">
        <v>20</v>
      </c>
      <c r="D45" s="574">
        <v>45492</v>
      </c>
      <c r="E45" s="574">
        <f t="shared" si="0"/>
        <v>909840</v>
      </c>
    </row>
    <row r="46" spans="2:5" x14ac:dyDescent="0.25">
      <c r="B46" s="577"/>
      <c r="C46" s="962" t="s">
        <v>158</v>
      </c>
      <c r="D46" s="962"/>
      <c r="E46" s="578">
        <f>SUM(E6:E45)</f>
        <v>138410178.80000001</v>
      </c>
    </row>
    <row r="47" spans="2:5" x14ac:dyDescent="0.25">
      <c r="B47" s="577"/>
      <c r="C47" s="962" t="s">
        <v>159</v>
      </c>
      <c r="D47" s="962"/>
      <c r="E47" s="578">
        <f>E46*0.16</f>
        <v>22145628.608000003</v>
      </c>
    </row>
    <row r="48" spans="2:5" x14ac:dyDescent="0.25">
      <c r="B48" s="577"/>
      <c r="C48" s="962" t="s">
        <v>160</v>
      </c>
      <c r="D48" s="962"/>
      <c r="E48" s="578">
        <f>SUM(E46:E47)</f>
        <v>160555807.40800002</v>
      </c>
    </row>
    <row r="49" spans="5:5" x14ac:dyDescent="0.25">
      <c r="E49" s="183"/>
    </row>
    <row r="50" spans="5:5" x14ac:dyDescent="0.25">
      <c r="E50" s="183"/>
    </row>
    <row r="51" spans="5:5" x14ac:dyDescent="0.25">
      <c r="E51" s="183"/>
    </row>
  </sheetData>
  <mergeCells count="5">
    <mergeCell ref="C47:D47"/>
    <mergeCell ref="C48:D48"/>
    <mergeCell ref="B3:E3"/>
    <mergeCell ref="B4:E4"/>
    <mergeCell ref="C46:D46"/>
  </mergeCells>
  <pageMargins left="0.7" right="0.7" top="0.75" bottom="0.75" header="0.3" footer="0.3"/>
  <pageSetup paperSize="5" scale="90" orientation="portrait" r:id="rId1"/>
  <headerFooter>
    <oddFooter xml:space="preserve">&amp;C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00B0F0"/>
  </sheetPr>
  <dimension ref="A1:E71"/>
  <sheetViews>
    <sheetView view="pageLayout" workbookViewId="0">
      <selection activeCell="A5" sqref="A5"/>
    </sheetView>
  </sheetViews>
  <sheetFormatPr baseColWidth="10" defaultRowHeight="19.7" customHeight="1" x14ac:dyDescent="0.25"/>
  <cols>
    <col min="1" max="1" width="46" style="329" customWidth="1"/>
    <col min="2" max="2" width="11.42578125" style="329"/>
    <col min="3" max="3" width="5.7109375" style="329" bestFit="1" customWidth="1"/>
    <col min="4" max="4" width="7.85546875" style="329" bestFit="1" customWidth="1"/>
    <col min="5" max="5" width="11.42578125" style="329" bestFit="1" customWidth="1"/>
    <col min="6" max="16384" width="11.42578125" style="329"/>
  </cols>
  <sheetData>
    <row r="1" spans="1:5" ht="19.7" customHeight="1" x14ac:dyDescent="0.25">
      <c r="A1" s="922" t="s">
        <v>373</v>
      </c>
      <c r="B1" s="922"/>
      <c r="C1" s="922"/>
      <c r="D1" s="922"/>
      <c r="E1" s="922"/>
    </row>
    <row r="2" spans="1:5" ht="19.7" customHeight="1" x14ac:dyDescent="0.25">
      <c r="A2" s="868" t="s">
        <v>1402</v>
      </c>
      <c r="B2" s="869"/>
      <c r="C2" s="869"/>
      <c r="D2" s="869"/>
      <c r="E2" s="870"/>
    </row>
    <row r="3" spans="1:5" ht="26.25" customHeight="1" x14ac:dyDescent="0.25">
      <c r="A3" s="511" t="s">
        <v>0</v>
      </c>
      <c r="B3" s="511" t="s">
        <v>415</v>
      </c>
      <c r="C3" s="511" t="s">
        <v>162</v>
      </c>
      <c r="D3" s="513" t="s">
        <v>285</v>
      </c>
      <c r="E3" s="513" t="s">
        <v>164</v>
      </c>
    </row>
    <row r="4" spans="1:5" ht="19.7" customHeight="1" x14ac:dyDescent="0.25">
      <c r="A4" s="147" t="s">
        <v>416</v>
      </c>
      <c r="B4" s="522" t="s">
        <v>417</v>
      </c>
      <c r="C4" s="522">
        <v>20</v>
      </c>
      <c r="D4" s="144">
        <v>180000</v>
      </c>
      <c r="E4" s="186">
        <f>D4*C4</f>
        <v>3600000</v>
      </c>
    </row>
    <row r="5" spans="1:5" ht="19.7" customHeight="1" x14ac:dyDescent="0.25">
      <c r="A5" s="147" t="s">
        <v>418</v>
      </c>
      <c r="B5" s="522" t="s">
        <v>417</v>
      </c>
      <c r="C5" s="522">
        <v>20</v>
      </c>
      <c r="D5" s="144">
        <v>18000</v>
      </c>
      <c r="E5" s="186">
        <f t="shared" ref="E5:E59" si="0">D5*C5</f>
        <v>360000</v>
      </c>
    </row>
    <row r="6" spans="1:5" ht="19.7" customHeight="1" x14ac:dyDescent="0.25">
      <c r="A6" s="147" t="s">
        <v>1596</v>
      </c>
      <c r="B6" s="522" t="s">
        <v>1573</v>
      </c>
      <c r="C6" s="522">
        <v>5</v>
      </c>
      <c r="D6" s="144">
        <v>390000</v>
      </c>
      <c r="E6" s="186">
        <f t="shared" ref="E6:E8" si="1">D6*C6</f>
        <v>1950000</v>
      </c>
    </row>
    <row r="7" spans="1:5" ht="19.7" customHeight="1" x14ac:dyDescent="0.25">
      <c r="A7" s="147" t="s">
        <v>1598</v>
      </c>
      <c r="B7" s="522" t="s">
        <v>1599</v>
      </c>
      <c r="C7" s="522">
        <v>10</v>
      </c>
      <c r="D7" s="144">
        <v>260000</v>
      </c>
      <c r="E7" s="186">
        <f t="shared" si="1"/>
        <v>2600000</v>
      </c>
    </row>
    <row r="8" spans="1:5" ht="19.7" customHeight="1" x14ac:dyDescent="0.25">
      <c r="A8" s="147" t="s">
        <v>1597</v>
      </c>
      <c r="B8" s="522"/>
      <c r="C8" s="522">
        <v>30</v>
      </c>
      <c r="D8" s="144">
        <v>5000</v>
      </c>
      <c r="E8" s="186">
        <f t="shared" si="1"/>
        <v>150000</v>
      </c>
    </row>
    <row r="9" spans="1:5" ht="19.7" customHeight="1" x14ac:dyDescent="0.25">
      <c r="A9" s="147" t="s">
        <v>1572</v>
      </c>
      <c r="B9" s="522" t="s">
        <v>1573</v>
      </c>
      <c r="C9" s="522">
        <v>20</v>
      </c>
      <c r="D9" s="144">
        <v>60000</v>
      </c>
      <c r="E9" s="186">
        <f t="shared" si="0"/>
        <v>1200000</v>
      </c>
    </row>
    <row r="10" spans="1:5" ht="19.7" customHeight="1" x14ac:dyDescent="0.25">
      <c r="A10" s="147" t="s">
        <v>1575</v>
      </c>
      <c r="B10" s="522" t="s">
        <v>1574</v>
      </c>
      <c r="C10" s="522">
        <v>20</v>
      </c>
      <c r="D10" s="144">
        <v>95000</v>
      </c>
      <c r="E10" s="186">
        <f t="shared" si="0"/>
        <v>1900000</v>
      </c>
    </row>
    <row r="11" spans="1:5" ht="19.7" customHeight="1" x14ac:dyDescent="0.25">
      <c r="A11" s="147" t="s">
        <v>1576</v>
      </c>
      <c r="B11" s="522" t="s">
        <v>419</v>
      </c>
      <c r="C11" s="522">
        <v>20</v>
      </c>
      <c r="D11" s="144">
        <v>30000</v>
      </c>
      <c r="E11" s="186">
        <f t="shared" si="0"/>
        <v>600000</v>
      </c>
    </row>
    <row r="12" spans="1:5" ht="19.7" customHeight="1" x14ac:dyDescent="0.25">
      <c r="A12" s="147" t="s">
        <v>1577</v>
      </c>
      <c r="B12" s="522" t="s">
        <v>420</v>
      </c>
      <c r="C12" s="522">
        <v>10</v>
      </c>
      <c r="D12" s="144">
        <v>13104</v>
      </c>
      <c r="E12" s="186">
        <f t="shared" si="0"/>
        <v>131040</v>
      </c>
    </row>
    <row r="13" spans="1:5" ht="19.7" customHeight="1" x14ac:dyDescent="0.25">
      <c r="A13" s="147" t="s">
        <v>1578</v>
      </c>
      <c r="B13" s="522" t="s">
        <v>420</v>
      </c>
      <c r="C13" s="522">
        <v>10</v>
      </c>
      <c r="D13" s="144">
        <v>32760</v>
      </c>
      <c r="E13" s="186">
        <f t="shared" si="0"/>
        <v>327600</v>
      </c>
    </row>
    <row r="14" spans="1:5" ht="19.7" customHeight="1" x14ac:dyDescent="0.25">
      <c r="A14" s="147" t="s">
        <v>421</v>
      </c>
      <c r="B14" s="522" t="s">
        <v>420</v>
      </c>
      <c r="C14" s="522">
        <v>20</v>
      </c>
      <c r="D14" s="144">
        <v>40000</v>
      </c>
      <c r="E14" s="186">
        <f t="shared" si="0"/>
        <v>800000</v>
      </c>
    </row>
    <row r="15" spans="1:5" ht="19.7" customHeight="1" x14ac:dyDescent="0.25">
      <c r="A15" s="147" t="s">
        <v>1579</v>
      </c>
      <c r="B15" s="522" t="s">
        <v>420</v>
      </c>
      <c r="C15" s="522">
        <v>10</v>
      </c>
      <c r="D15" s="144">
        <v>32760</v>
      </c>
      <c r="E15" s="186">
        <f t="shared" si="0"/>
        <v>327600</v>
      </c>
    </row>
    <row r="16" spans="1:5" ht="19.7" customHeight="1" x14ac:dyDescent="0.25">
      <c r="A16" s="147" t="s">
        <v>422</v>
      </c>
      <c r="B16" s="522" t="s">
        <v>420</v>
      </c>
      <c r="C16" s="522">
        <v>20</v>
      </c>
      <c r="D16" s="144">
        <v>32760</v>
      </c>
      <c r="E16" s="186">
        <f t="shared" si="0"/>
        <v>655200</v>
      </c>
    </row>
    <row r="17" spans="1:5" ht="19.7" customHeight="1" x14ac:dyDescent="0.25">
      <c r="A17" s="147" t="s">
        <v>423</v>
      </c>
      <c r="B17" s="522" t="s">
        <v>420</v>
      </c>
      <c r="C17" s="522">
        <v>10</v>
      </c>
      <c r="D17" s="144">
        <v>32760</v>
      </c>
      <c r="E17" s="186">
        <f t="shared" si="0"/>
        <v>327600</v>
      </c>
    </row>
    <row r="18" spans="1:5" ht="19.7" customHeight="1" x14ac:dyDescent="0.25">
      <c r="A18" s="147" t="s">
        <v>424</v>
      </c>
      <c r="B18" s="522"/>
      <c r="C18" s="522">
        <v>10</v>
      </c>
      <c r="D18" s="144">
        <v>30000</v>
      </c>
      <c r="E18" s="186">
        <f t="shared" si="0"/>
        <v>300000</v>
      </c>
    </row>
    <row r="19" spans="1:5" ht="19.7" customHeight="1" x14ac:dyDescent="0.25">
      <c r="A19" s="147" t="s">
        <v>425</v>
      </c>
      <c r="B19" s="522"/>
      <c r="C19" s="522">
        <v>30</v>
      </c>
      <c r="D19" s="144">
        <v>4500</v>
      </c>
      <c r="E19" s="186">
        <f t="shared" si="0"/>
        <v>135000</v>
      </c>
    </row>
    <row r="20" spans="1:5" ht="19.7" customHeight="1" x14ac:dyDescent="0.25">
      <c r="A20" s="147" t="s">
        <v>1355</v>
      </c>
      <c r="B20" s="522"/>
      <c r="C20" s="522">
        <v>15</v>
      </c>
      <c r="D20" s="144">
        <v>13104</v>
      </c>
      <c r="E20" s="186">
        <f t="shared" si="0"/>
        <v>196560</v>
      </c>
    </row>
    <row r="21" spans="1:5" ht="19.7" customHeight="1" x14ac:dyDescent="0.25">
      <c r="A21" s="147" t="s">
        <v>426</v>
      </c>
      <c r="B21" s="522" t="s">
        <v>1580</v>
      </c>
      <c r="C21" s="522">
        <v>5</v>
      </c>
      <c r="D21" s="144">
        <v>131040</v>
      </c>
      <c r="E21" s="186">
        <f t="shared" si="0"/>
        <v>655200</v>
      </c>
    </row>
    <row r="22" spans="1:5" ht="19.7" customHeight="1" x14ac:dyDescent="0.25">
      <c r="A22" s="147" t="s">
        <v>1581</v>
      </c>
      <c r="B22" s="522" t="s">
        <v>1573</v>
      </c>
      <c r="C22" s="522">
        <v>10</v>
      </c>
      <c r="D22" s="144">
        <v>45000</v>
      </c>
      <c r="E22" s="186">
        <f t="shared" si="0"/>
        <v>450000</v>
      </c>
    </row>
    <row r="23" spans="1:5" ht="19.7" customHeight="1" x14ac:dyDescent="0.25">
      <c r="A23" s="147" t="s">
        <v>1582</v>
      </c>
      <c r="B23" s="522"/>
      <c r="C23" s="522">
        <v>10</v>
      </c>
      <c r="D23" s="144">
        <v>8736</v>
      </c>
      <c r="E23" s="186">
        <f t="shared" si="0"/>
        <v>87360</v>
      </c>
    </row>
    <row r="24" spans="1:5" ht="19.7" customHeight="1" x14ac:dyDescent="0.25">
      <c r="A24" s="147" t="s">
        <v>427</v>
      </c>
      <c r="B24" s="522"/>
      <c r="C24" s="522">
        <v>20</v>
      </c>
      <c r="D24" s="144">
        <v>15000</v>
      </c>
      <c r="E24" s="186">
        <f t="shared" si="0"/>
        <v>300000</v>
      </c>
    </row>
    <row r="25" spans="1:5" ht="19.7" customHeight="1" x14ac:dyDescent="0.25">
      <c r="A25" s="147" t="s">
        <v>428</v>
      </c>
      <c r="B25" s="522" t="s">
        <v>420</v>
      </c>
      <c r="C25" s="522">
        <v>15</v>
      </c>
      <c r="D25" s="144">
        <v>13104</v>
      </c>
      <c r="E25" s="186">
        <f t="shared" si="0"/>
        <v>196560</v>
      </c>
    </row>
    <row r="26" spans="1:5" ht="19.7" customHeight="1" x14ac:dyDescent="0.25">
      <c r="A26" s="147" t="s">
        <v>429</v>
      </c>
      <c r="B26" s="522" t="s">
        <v>420</v>
      </c>
      <c r="C26" s="522">
        <v>10</v>
      </c>
      <c r="D26" s="144">
        <v>76440</v>
      </c>
      <c r="E26" s="186">
        <f t="shared" si="0"/>
        <v>764400</v>
      </c>
    </row>
    <row r="27" spans="1:5" ht="19.7" customHeight="1" x14ac:dyDescent="0.25">
      <c r="A27" s="147" t="s">
        <v>430</v>
      </c>
      <c r="B27" s="522" t="s">
        <v>417</v>
      </c>
      <c r="C27" s="522">
        <v>20</v>
      </c>
      <c r="D27" s="144">
        <v>35000</v>
      </c>
      <c r="E27" s="186">
        <f t="shared" si="0"/>
        <v>700000</v>
      </c>
    </row>
    <row r="28" spans="1:5" ht="19.7" customHeight="1" x14ac:dyDescent="0.25">
      <c r="A28" s="147" t="s">
        <v>431</v>
      </c>
      <c r="B28" s="522" t="s">
        <v>417</v>
      </c>
      <c r="C28" s="522">
        <v>20</v>
      </c>
      <c r="D28" s="144">
        <v>35000</v>
      </c>
      <c r="E28" s="186">
        <f t="shared" si="0"/>
        <v>700000</v>
      </c>
    </row>
    <row r="29" spans="1:5" ht="19.7" customHeight="1" x14ac:dyDescent="0.25">
      <c r="A29" s="147" t="s">
        <v>432</v>
      </c>
      <c r="B29" s="522"/>
      <c r="C29" s="522">
        <v>10</v>
      </c>
      <c r="D29" s="144">
        <v>170000</v>
      </c>
      <c r="E29" s="186">
        <f t="shared" si="0"/>
        <v>1700000</v>
      </c>
    </row>
    <row r="30" spans="1:5" ht="19.7" customHeight="1" x14ac:dyDescent="0.25">
      <c r="A30" s="147" t="s">
        <v>1583</v>
      </c>
      <c r="B30" s="522" t="s">
        <v>1584</v>
      </c>
      <c r="C30" s="522">
        <v>10</v>
      </c>
      <c r="D30" s="144">
        <v>60000</v>
      </c>
      <c r="E30" s="186">
        <f t="shared" si="0"/>
        <v>600000</v>
      </c>
    </row>
    <row r="31" spans="1:5" ht="19.7" customHeight="1" x14ac:dyDescent="0.25">
      <c r="A31" s="147" t="s">
        <v>433</v>
      </c>
      <c r="B31" s="522"/>
      <c r="C31" s="522">
        <v>5</v>
      </c>
      <c r="D31" s="144">
        <v>131040</v>
      </c>
      <c r="E31" s="186">
        <f t="shared" si="0"/>
        <v>655200</v>
      </c>
    </row>
    <row r="32" spans="1:5" ht="19.7" customHeight="1" x14ac:dyDescent="0.25">
      <c r="A32" s="147" t="s">
        <v>434</v>
      </c>
      <c r="B32" s="522"/>
      <c r="C32" s="522">
        <v>20</v>
      </c>
      <c r="D32" s="144">
        <v>15000</v>
      </c>
      <c r="E32" s="186">
        <f t="shared" si="0"/>
        <v>300000</v>
      </c>
    </row>
    <row r="33" spans="1:5" ht="19.7" customHeight="1" x14ac:dyDescent="0.25">
      <c r="A33" s="147" t="s">
        <v>1585</v>
      </c>
      <c r="B33" s="522" t="s">
        <v>435</v>
      </c>
      <c r="C33" s="522">
        <v>20</v>
      </c>
      <c r="D33" s="144">
        <v>165000</v>
      </c>
      <c r="E33" s="186">
        <f t="shared" si="0"/>
        <v>3300000</v>
      </c>
    </row>
    <row r="34" spans="1:5" ht="19.7" customHeight="1" x14ac:dyDescent="0.25">
      <c r="A34" s="147" t="s">
        <v>1586</v>
      </c>
      <c r="B34" s="522" t="s">
        <v>435</v>
      </c>
      <c r="C34" s="522">
        <v>10</v>
      </c>
      <c r="D34" s="144">
        <v>150000</v>
      </c>
      <c r="E34" s="186">
        <f t="shared" si="0"/>
        <v>1500000</v>
      </c>
    </row>
    <row r="35" spans="1:5" ht="19.7" customHeight="1" x14ac:dyDescent="0.25">
      <c r="A35" s="147" t="s">
        <v>436</v>
      </c>
      <c r="B35" s="522" t="s">
        <v>435</v>
      </c>
      <c r="C35" s="522">
        <v>20</v>
      </c>
      <c r="D35" s="144">
        <v>150000</v>
      </c>
      <c r="E35" s="186">
        <f t="shared" si="0"/>
        <v>3000000</v>
      </c>
    </row>
    <row r="36" spans="1:5" ht="19.7" customHeight="1" x14ac:dyDescent="0.25">
      <c r="A36" s="147" t="s">
        <v>437</v>
      </c>
      <c r="B36" s="522"/>
      <c r="C36" s="522">
        <v>20</v>
      </c>
      <c r="D36" s="144">
        <v>5000</v>
      </c>
      <c r="E36" s="186">
        <f t="shared" si="0"/>
        <v>100000</v>
      </c>
    </row>
    <row r="37" spans="1:5" ht="19.7" customHeight="1" x14ac:dyDescent="0.25">
      <c r="A37" s="147" t="s">
        <v>438</v>
      </c>
      <c r="B37" s="522" t="s">
        <v>417</v>
      </c>
      <c r="C37" s="522">
        <v>30</v>
      </c>
      <c r="D37" s="144">
        <v>16380</v>
      </c>
      <c r="E37" s="186">
        <f t="shared" si="0"/>
        <v>491400</v>
      </c>
    </row>
    <row r="38" spans="1:5" ht="19.7" customHeight="1" x14ac:dyDescent="0.25">
      <c r="A38" s="147" t="s">
        <v>1356</v>
      </c>
      <c r="B38" s="522" t="s">
        <v>417</v>
      </c>
      <c r="C38" s="522">
        <v>15</v>
      </c>
      <c r="D38" s="144">
        <v>17472</v>
      </c>
      <c r="E38" s="186">
        <f t="shared" si="0"/>
        <v>262080</v>
      </c>
    </row>
    <row r="39" spans="1:5" ht="19.7" customHeight="1" x14ac:dyDescent="0.25">
      <c r="A39" s="147" t="s">
        <v>1587</v>
      </c>
      <c r="B39" s="522"/>
      <c r="C39" s="522">
        <v>10</v>
      </c>
      <c r="D39" s="144">
        <v>70980</v>
      </c>
      <c r="E39" s="186">
        <f t="shared" si="0"/>
        <v>709800</v>
      </c>
    </row>
    <row r="40" spans="1:5" ht="19.7" customHeight="1" x14ac:dyDescent="0.25">
      <c r="A40" s="147" t="s">
        <v>439</v>
      </c>
      <c r="B40" s="522"/>
      <c r="C40" s="522">
        <v>5</v>
      </c>
      <c r="D40" s="144">
        <v>850000</v>
      </c>
      <c r="E40" s="186">
        <f t="shared" si="0"/>
        <v>4250000</v>
      </c>
    </row>
    <row r="41" spans="1:5" ht="19.7" customHeight="1" x14ac:dyDescent="0.25">
      <c r="A41" s="147" t="s">
        <v>440</v>
      </c>
      <c r="B41" s="522" t="s">
        <v>441</v>
      </c>
      <c r="C41" s="522">
        <v>105</v>
      </c>
      <c r="D41" s="144">
        <v>54600</v>
      </c>
      <c r="E41" s="186">
        <f t="shared" si="0"/>
        <v>5733000</v>
      </c>
    </row>
    <row r="42" spans="1:5" ht="19.7" customHeight="1" x14ac:dyDescent="0.25">
      <c r="A42" s="147" t="s">
        <v>1588</v>
      </c>
      <c r="B42" s="522" t="s">
        <v>417</v>
      </c>
      <c r="C42" s="522">
        <v>10</v>
      </c>
      <c r="D42" s="144">
        <v>87360</v>
      </c>
      <c r="E42" s="186">
        <f t="shared" si="0"/>
        <v>873600</v>
      </c>
    </row>
    <row r="43" spans="1:5" ht="19.7" customHeight="1" x14ac:dyDescent="0.25">
      <c r="A43" s="147" t="s">
        <v>442</v>
      </c>
      <c r="B43" s="522" t="s">
        <v>1589</v>
      </c>
      <c r="C43" s="522">
        <v>10</v>
      </c>
      <c r="D43" s="144">
        <v>98280</v>
      </c>
      <c r="E43" s="186">
        <f t="shared" si="0"/>
        <v>982800</v>
      </c>
    </row>
    <row r="44" spans="1:5" ht="19.7" customHeight="1" x14ac:dyDescent="0.25">
      <c r="A44" s="147" t="s">
        <v>443</v>
      </c>
      <c r="B44" s="522" t="s">
        <v>1590</v>
      </c>
      <c r="C44" s="522">
        <v>30</v>
      </c>
      <c r="D44" s="144">
        <v>10920</v>
      </c>
      <c r="E44" s="186">
        <f t="shared" si="0"/>
        <v>327600</v>
      </c>
    </row>
    <row r="45" spans="1:5" ht="19.7" customHeight="1" x14ac:dyDescent="0.25">
      <c r="A45" s="147" t="s">
        <v>1591</v>
      </c>
      <c r="B45" s="522" t="s">
        <v>1584</v>
      </c>
      <c r="C45" s="522">
        <v>5</v>
      </c>
      <c r="D45" s="144">
        <v>300000</v>
      </c>
      <c r="E45" s="186">
        <f t="shared" si="0"/>
        <v>1500000</v>
      </c>
    </row>
    <row r="46" spans="1:5" ht="19.7" customHeight="1" x14ac:dyDescent="0.25">
      <c r="A46" s="526"/>
      <c r="B46" s="592"/>
      <c r="C46" s="592"/>
      <c r="D46" s="593"/>
      <c r="E46" s="527"/>
    </row>
    <row r="47" spans="1:5" ht="19.7" customHeight="1" x14ac:dyDescent="0.25">
      <c r="A47" s="418"/>
      <c r="B47" s="567"/>
      <c r="C47" s="567"/>
      <c r="D47" s="594"/>
      <c r="E47" s="406"/>
    </row>
    <row r="48" spans="1:5" ht="19.7" customHeight="1" x14ac:dyDescent="0.25">
      <c r="A48" s="418"/>
      <c r="B48" s="567"/>
      <c r="C48" s="567"/>
      <c r="D48" s="594"/>
      <c r="E48" s="406"/>
    </row>
    <row r="49" spans="1:5" ht="19.7" customHeight="1" x14ac:dyDescent="0.25">
      <c r="A49" s="418"/>
      <c r="B49" s="567"/>
      <c r="C49" s="567"/>
      <c r="D49" s="594"/>
      <c r="E49" s="406"/>
    </row>
    <row r="50" spans="1:5" ht="19.7" customHeight="1" x14ac:dyDescent="0.25">
      <c r="A50" s="147" t="s">
        <v>1357</v>
      </c>
      <c r="B50" s="522"/>
      <c r="C50" s="522">
        <v>20</v>
      </c>
      <c r="D50" s="144">
        <v>6552</v>
      </c>
      <c r="E50" s="186">
        <f t="shared" si="0"/>
        <v>131040</v>
      </c>
    </row>
    <row r="51" spans="1:5" ht="19.7" customHeight="1" x14ac:dyDescent="0.25">
      <c r="A51" s="147" t="s">
        <v>444</v>
      </c>
      <c r="B51" s="522"/>
      <c r="C51" s="522">
        <v>20</v>
      </c>
      <c r="D51" s="144">
        <v>5460</v>
      </c>
      <c r="E51" s="186">
        <f t="shared" si="0"/>
        <v>109200</v>
      </c>
    </row>
    <row r="52" spans="1:5" ht="19.7" customHeight="1" x14ac:dyDescent="0.25">
      <c r="A52" s="147" t="s">
        <v>445</v>
      </c>
      <c r="B52" s="522"/>
      <c r="C52" s="522">
        <v>50</v>
      </c>
      <c r="D52" s="144">
        <v>5000</v>
      </c>
      <c r="E52" s="186">
        <f t="shared" si="0"/>
        <v>250000</v>
      </c>
    </row>
    <row r="53" spans="1:5" ht="19.7" customHeight="1" x14ac:dyDescent="0.25">
      <c r="A53" s="147" t="s">
        <v>446</v>
      </c>
      <c r="B53" s="522"/>
      <c r="C53" s="522">
        <v>50</v>
      </c>
      <c r="D53" s="144">
        <v>5000</v>
      </c>
      <c r="E53" s="186">
        <f t="shared" si="0"/>
        <v>250000</v>
      </c>
    </row>
    <row r="54" spans="1:5" ht="19.7" customHeight="1" x14ac:dyDescent="0.25">
      <c r="A54" s="147" t="s">
        <v>447</v>
      </c>
      <c r="B54" s="522"/>
      <c r="C54" s="522">
        <v>20</v>
      </c>
      <c r="D54" s="144">
        <v>65520</v>
      </c>
      <c r="E54" s="186">
        <f t="shared" si="0"/>
        <v>1310400</v>
      </c>
    </row>
    <row r="55" spans="1:5" ht="19.7" customHeight="1" x14ac:dyDescent="0.25">
      <c r="A55" s="147" t="s">
        <v>448</v>
      </c>
      <c r="B55" s="522"/>
      <c r="C55" s="522">
        <v>40</v>
      </c>
      <c r="D55" s="144">
        <v>7644</v>
      </c>
      <c r="E55" s="186">
        <f t="shared" si="0"/>
        <v>305760</v>
      </c>
    </row>
    <row r="56" spans="1:5" ht="19.7" customHeight="1" x14ac:dyDescent="0.25">
      <c r="A56" s="147" t="s">
        <v>449</v>
      </c>
      <c r="B56" s="522"/>
      <c r="C56" s="522">
        <v>10</v>
      </c>
      <c r="D56" s="144">
        <v>141960</v>
      </c>
      <c r="E56" s="186">
        <f t="shared" si="0"/>
        <v>1419600</v>
      </c>
    </row>
    <row r="57" spans="1:5" ht="19.7" customHeight="1" x14ac:dyDescent="0.25">
      <c r="A57" s="147" t="s">
        <v>450</v>
      </c>
      <c r="B57" s="522"/>
      <c r="C57" s="522">
        <v>30</v>
      </c>
      <c r="D57" s="144">
        <v>28000</v>
      </c>
      <c r="E57" s="186">
        <f t="shared" si="0"/>
        <v>840000</v>
      </c>
    </row>
    <row r="58" spans="1:5" ht="19.7" customHeight="1" x14ac:dyDescent="0.25">
      <c r="A58" s="147" t="s">
        <v>1592</v>
      </c>
      <c r="B58" s="522"/>
      <c r="C58" s="522">
        <v>15</v>
      </c>
      <c r="D58" s="144">
        <v>8736</v>
      </c>
      <c r="E58" s="186">
        <f t="shared" si="0"/>
        <v>131040</v>
      </c>
    </row>
    <row r="59" spans="1:5" ht="19.7" customHeight="1" x14ac:dyDescent="0.25">
      <c r="A59" s="147" t="s">
        <v>1593</v>
      </c>
      <c r="B59" s="522"/>
      <c r="C59" s="522">
        <v>20</v>
      </c>
      <c r="D59" s="144">
        <v>8736</v>
      </c>
      <c r="E59" s="186">
        <f t="shared" si="0"/>
        <v>174720</v>
      </c>
    </row>
    <row r="60" spans="1:5" ht="19.7" customHeight="1" x14ac:dyDescent="0.25">
      <c r="A60" s="147" t="s">
        <v>1358</v>
      </c>
      <c r="B60" s="522"/>
      <c r="C60" s="522">
        <v>10</v>
      </c>
      <c r="D60" s="144">
        <v>24000</v>
      </c>
      <c r="E60" s="186">
        <f t="shared" ref="E60:E67" si="2">D60*C60</f>
        <v>240000</v>
      </c>
    </row>
    <row r="61" spans="1:5" ht="19.7" customHeight="1" x14ac:dyDescent="0.25">
      <c r="A61" s="147" t="s">
        <v>1359</v>
      </c>
      <c r="B61" s="522"/>
      <c r="C61" s="522">
        <v>20</v>
      </c>
      <c r="D61" s="144">
        <v>12000</v>
      </c>
      <c r="E61" s="186">
        <f t="shared" si="2"/>
        <v>240000</v>
      </c>
    </row>
    <row r="62" spans="1:5" ht="19.7" customHeight="1" x14ac:dyDescent="0.25">
      <c r="A62" s="147" t="s">
        <v>1360</v>
      </c>
      <c r="B62" s="522"/>
      <c r="C62" s="522">
        <v>20</v>
      </c>
      <c r="D62" s="144">
        <v>15000</v>
      </c>
      <c r="E62" s="186">
        <f t="shared" si="2"/>
        <v>300000</v>
      </c>
    </row>
    <row r="63" spans="1:5" ht="19.7" customHeight="1" x14ac:dyDescent="0.25">
      <c r="A63" s="147" t="s">
        <v>1361</v>
      </c>
      <c r="B63" s="522"/>
      <c r="C63" s="522">
        <v>10</v>
      </c>
      <c r="D63" s="144">
        <v>70000</v>
      </c>
      <c r="E63" s="186">
        <f t="shared" si="2"/>
        <v>700000</v>
      </c>
    </row>
    <row r="64" spans="1:5" ht="19.7" customHeight="1" x14ac:dyDescent="0.25">
      <c r="A64" s="147" t="s">
        <v>1595</v>
      </c>
      <c r="B64" s="522" t="s">
        <v>1584</v>
      </c>
      <c r="C64" s="522">
        <v>20</v>
      </c>
      <c r="D64" s="144">
        <v>60000</v>
      </c>
      <c r="E64" s="186">
        <f t="shared" ref="E64" si="3">D64*C64</f>
        <v>1200000</v>
      </c>
    </row>
    <row r="65" spans="1:5" ht="19.7" customHeight="1" x14ac:dyDescent="0.25">
      <c r="A65" s="147" t="s">
        <v>1594</v>
      </c>
      <c r="B65" s="522" t="s">
        <v>1584</v>
      </c>
      <c r="C65" s="522">
        <v>20</v>
      </c>
      <c r="D65" s="144">
        <v>60000</v>
      </c>
      <c r="E65" s="186">
        <f t="shared" ref="E65" si="4">D65*C65</f>
        <v>1200000</v>
      </c>
    </row>
    <row r="66" spans="1:5" ht="19.7" customHeight="1" x14ac:dyDescent="0.25">
      <c r="A66" s="147" t="s">
        <v>1362</v>
      </c>
      <c r="B66" s="522"/>
      <c r="C66" s="522">
        <v>10</v>
      </c>
      <c r="D66" s="144">
        <v>15000</v>
      </c>
      <c r="E66" s="186">
        <f t="shared" si="2"/>
        <v>150000</v>
      </c>
    </row>
    <row r="67" spans="1:5" ht="19.7" customHeight="1" x14ac:dyDescent="0.25">
      <c r="A67" s="147" t="s">
        <v>1363</v>
      </c>
      <c r="B67" s="522" t="s">
        <v>1364</v>
      </c>
      <c r="C67" s="522">
        <v>30</v>
      </c>
      <c r="D67" s="144">
        <v>10000</v>
      </c>
      <c r="E67" s="186">
        <f t="shared" si="2"/>
        <v>300000</v>
      </c>
    </row>
    <row r="68" spans="1:5" ht="19.7" customHeight="1" x14ac:dyDescent="0.25">
      <c r="A68" s="590"/>
      <c r="B68" s="872" t="s">
        <v>284</v>
      </c>
      <c r="C68" s="872"/>
      <c r="D68" s="872"/>
      <c r="E68" s="196">
        <f>SUM(E4:E67)</f>
        <v>54951360</v>
      </c>
    </row>
    <row r="69" spans="1:5" ht="19.7" customHeight="1" x14ac:dyDescent="0.25">
      <c r="A69" s="591"/>
      <c r="B69" s="872" t="s">
        <v>159</v>
      </c>
      <c r="C69" s="872"/>
      <c r="D69" s="872"/>
      <c r="E69" s="196">
        <f>E68*16%</f>
        <v>8792217.5999999996</v>
      </c>
    </row>
    <row r="70" spans="1:5" ht="19.7" customHeight="1" x14ac:dyDescent="0.25">
      <c r="A70" s="591"/>
      <c r="B70" s="872" t="s">
        <v>298</v>
      </c>
      <c r="C70" s="872"/>
      <c r="D70" s="872"/>
      <c r="E70" s="196">
        <f>E68+E69</f>
        <v>63743577.600000001</v>
      </c>
    </row>
    <row r="71" spans="1:5" ht="19.7" customHeight="1" x14ac:dyDescent="0.25">
      <c r="A71" s="226"/>
      <c r="B71" s="226"/>
      <c r="C71" s="226"/>
      <c r="D71" s="226"/>
      <c r="E71" s="226"/>
    </row>
  </sheetData>
  <mergeCells count="5">
    <mergeCell ref="A2:E2"/>
    <mergeCell ref="B68:D68"/>
    <mergeCell ref="B69:D69"/>
    <mergeCell ref="B70:D70"/>
    <mergeCell ref="A1:E1"/>
  </mergeCells>
  <pageMargins left="0.7" right="0.7" top="0.75" bottom="0.75" header="0.3" footer="0.3"/>
  <pageSetup paperSize="5" orientation="portrait" r:id="rId1"/>
  <headerFooter>
    <oddFooter xml:space="preserve">&amp;C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00B0F0"/>
  </sheetPr>
  <dimension ref="B1:G31"/>
  <sheetViews>
    <sheetView view="pageLayout" zoomScale="115" zoomScalePageLayoutView="115" workbookViewId="0">
      <selection activeCell="D84" sqref="D84"/>
    </sheetView>
  </sheetViews>
  <sheetFormatPr baseColWidth="10" defaultRowHeight="12" x14ac:dyDescent="0.25"/>
  <cols>
    <col min="1" max="1" width="11.42578125" style="226"/>
    <col min="2" max="2" width="5.28515625" style="226" customWidth="1"/>
    <col min="3" max="3" width="26.42578125" style="226" customWidth="1"/>
    <col min="4" max="4" width="12.7109375" style="226" bestFit="1" customWidth="1"/>
    <col min="5" max="6" width="11.7109375" style="226" bestFit="1" customWidth="1"/>
    <col min="7" max="7" width="12.85546875" style="226" bestFit="1" customWidth="1"/>
    <col min="8" max="16384" width="11.42578125" style="226"/>
  </cols>
  <sheetData>
    <row r="1" spans="2:7" x14ac:dyDescent="0.25">
      <c r="B1" s="595"/>
      <c r="C1" s="595"/>
      <c r="D1" s="595"/>
      <c r="E1" s="595"/>
      <c r="F1" s="595"/>
      <c r="G1" s="595"/>
    </row>
    <row r="2" spans="2:7" x14ac:dyDescent="0.25">
      <c r="B2" s="595"/>
      <c r="C2" s="595"/>
      <c r="D2" s="595"/>
      <c r="E2" s="595"/>
      <c r="F2" s="595"/>
      <c r="G2" s="595"/>
    </row>
    <row r="3" spans="2:7" x14ac:dyDescent="0.25">
      <c r="B3" s="964" t="s">
        <v>313</v>
      </c>
      <c r="C3" s="964"/>
      <c r="D3" s="964"/>
      <c r="E3" s="964"/>
      <c r="F3" s="964"/>
      <c r="G3" s="964"/>
    </row>
    <row r="4" spans="2:7" x14ac:dyDescent="0.25">
      <c r="B4" s="877" t="s">
        <v>1617</v>
      </c>
      <c r="C4" s="917"/>
      <c r="D4" s="917"/>
      <c r="E4" s="917"/>
      <c r="F4" s="917"/>
      <c r="G4" s="878"/>
    </row>
    <row r="5" spans="2:7" x14ac:dyDescent="0.25">
      <c r="B5" s="965" t="s">
        <v>233</v>
      </c>
      <c r="C5" s="965" t="s">
        <v>451</v>
      </c>
      <c r="D5" s="874" t="s">
        <v>1882</v>
      </c>
      <c r="E5" s="965" t="s">
        <v>452</v>
      </c>
      <c r="F5" s="965" t="s">
        <v>453</v>
      </c>
      <c r="G5" s="965" t="s">
        <v>180</v>
      </c>
    </row>
    <row r="6" spans="2:7" x14ac:dyDescent="0.25">
      <c r="B6" s="931"/>
      <c r="C6" s="931"/>
      <c r="D6" s="876"/>
      <c r="E6" s="931"/>
      <c r="F6" s="931"/>
      <c r="G6" s="931"/>
    </row>
    <row r="7" spans="2:7" x14ac:dyDescent="0.25">
      <c r="B7" s="230">
        <v>1</v>
      </c>
      <c r="C7" s="280" t="s">
        <v>456</v>
      </c>
      <c r="D7" s="281">
        <v>8029056</v>
      </c>
      <c r="E7" s="280">
        <v>0</v>
      </c>
      <c r="F7" s="281">
        <v>472962.32716602052</v>
      </c>
      <c r="G7" s="281">
        <f>SUM(D7:F7)</f>
        <v>8502018.3271660209</v>
      </c>
    </row>
    <row r="8" spans="2:7" x14ac:dyDescent="0.25">
      <c r="B8" s="230">
        <v>2</v>
      </c>
      <c r="C8" s="280" t="s">
        <v>457</v>
      </c>
      <c r="D8" s="281">
        <v>8029056</v>
      </c>
      <c r="E8" s="280">
        <v>0</v>
      </c>
      <c r="F8" s="281">
        <v>472962.32716602052</v>
      </c>
      <c r="G8" s="281">
        <f t="shared" ref="G8:G28" si="0">SUM(D8:F8)</f>
        <v>8502018.3271660209</v>
      </c>
    </row>
    <row r="9" spans="2:7" x14ac:dyDescent="0.25">
      <c r="B9" s="230">
        <v>3</v>
      </c>
      <c r="C9" s="280" t="s">
        <v>1618</v>
      </c>
      <c r="D9" s="281">
        <v>8029056</v>
      </c>
      <c r="E9" s="281">
        <v>0</v>
      </c>
      <c r="F9" s="281">
        <v>472962.32716602052</v>
      </c>
      <c r="G9" s="281">
        <f t="shared" si="0"/>
        <v>8502018.3271660209</v>
      </c>
    </row>
    <row r="10" spans="2:7" x14ac:dyDescent="0.25">
      <c r="B10" s="230">
        <v>4</v>
      </c>
      <c r="C10" s="280" t="s">
        <v>458</v>
      </c>
      <c r="D10" s="281">
        <v>8029056</v>
      </c>
      <c r="E10" s="280">
        <v>0</v>
      </c>
      <c r="F10" s="281">
        <v>472962.32716602052</v>
      </c>
      <c r="G10" s="281">
        <f t="shared" si="0"/>
        <v>8502018.3271660209</v>
      </c>
    </row>
    <row r="11" spans="2:7" x14ac:dyDescent="0.25">
      <c r="B11" s="230">
        <v>5</v>
      </c>
      <c r="C11" s="280" t="s">
        <v>459</v>
      </c>
      <c r="D11" s="281">
        <v>13669250</v>
      </c>
      <c r="E11" s="280">
        <v>0</v>
      </c>
      <c r="F11" s="281">
        <v>472962.32716602052</v>
      </c>
      <c r="G11" s="281">
        <f t="shared" si="0"/>
        <v>14142212.327166021</v>
      </c>
    </row>
    <row r="12" spans="2:7" x14ac:dyDescent="0.25">
      <c r="B12" s="230">
        <v>6</v>
      </c>
      <c r="C12" s="280" t="s">
        <v>460</v>
      </c>
      <c r="D12" s="281">
        <v>0</v>
      </c>
      <c r="E12" s="281">
        <v>22895355</v>
      </c>
      <c r="F12" s="281">
        <v>472962.32716602052</v>
      </c>
      <c r="G12" s="281">
        <f t="shared" si="0"/>
        <v>23368317.327166021</v>
      </c>
    </row>
    <row r="13" spans="2:7" x14ac:dyDescent="0.25">
      <c r="B13" s="230">
        <v>7</v>
      </c>
      <c r="C13" s="280" t="s">
        <v>461</v>
      </c>
      <c r="D13" s="281">
        <v>0</v>
      </c>
      <c r="E13" s="281">
        <v>22895355</v>
      </c>
      <c r="F13" s="281">
        <v>472962.32716602052</v>
      </c>
      <c r="G13" s="281">
        <f t="shared" si="0"/>
        <v>23368317.327166021</v>
      </c>
    </row>
    <row r="14" spans="2:7" x14ac:dyDescent="0.25">
      <c r="B14" s="230">
        <v>8</v>
      </c>
      <c r="C14" s="280" t="s">
        <v>462</v>
      </c>
      <c r="D14" s="281">
        <v>0</v>
      </c>
      <c r="E14" s="281">
        <v>22895355</v>
      </c>
      <c r="F14" s="281">
        <v>472962.32716602052</v>
      </c>
      <c r="G14" s="281">
        <f t="shared" si="0"/>
        <v>23368317.327166021</v>
      </c>
    </row>
    <row r="15" spans="2:7" x14ac:dyDescent="0.25">
      <c r="B15" s="230">
        <v>9</v>
      </c>
      <c r="C15" s="280" t="s">
        <v>1619</v>
      </c>
      <c r="D15" s="281">
        <v>13669250</v>
      </c>
      <c r="E15" s="280">
        <v>0</v>
      </c>
      <c r="F15" s="281">
        <v>472962.32716602052</v>
      </c>
      <c r="G15" s="281">
        <f t="shared" si="0"/>
        <v>14142212.327166021</v>
      </c>
    </row>
    <row r="16" spans="2:7" x14ac:dyDescent="0.25">
      <c r="B16" s="230">
        <v>10</v>
      </c>
      <c r="C16" s="280" t="s">
        <v>1435</v>
      </c>
      <c r="D16" s="281">
        <v>21805100</v>
      </c>
      <c r="E16" s="280">
        <v>0</v>
      </c>
      <c r="F16" s="281">
        <v>472962.32716602052</v>
      </c>
      <c r="G16" s="281">
        <f t="shared" si="0"/>
        <v>22278062.327166021</v>
      </c>
    </row>
    <row r="17" spans="2:7" x14ac:dyDescent="0.25">
      <c r="B17" s="230">
        <v>11</v>
      </c>
      <c r="C17" s="280" t="s">
        <v>463</v>
      </c>
      <c r="D17" s="281">
        <v>15263570</v>
      </c>
      <c r="E17" s="280">
        <v>0</v>
      </c>
      <c r="F17" s="281">
        <v>472962.32716602052</v>
      </c>
      <c r="G17" s="281">
        <f t="shared" si="0"/>
        <v>15736532.327166021</v>
      </c>
    </row>
    <row r="18" spans="2:7" x14ac:dyDescent="0.25">
      <c r="B18" s="230">
        <v>12</v>
      </c>
      <c r="C18" s="280" t="s">
        <v>464</v>
      </c>
      <c r="D18" s="281">
        <v>8029056</v>
      </c>
      <c r="E18" s="280">
        <v>0</v>
      </c>
      <c r="F18" s="281">
        <v>472962.32716602052</v>
      </c>
      <c r="G18" s="281">
        <f t="shared" si="0"/>
        <v>8502018.3271660209</v>
      </c>
    </row>
    <row r="19" spans="2:7" x14ac:dyDescent="0.25">
      <c r="B19" s="230">
        <v>13</v>
      </c>
      <c r="C19" s="280" t="s">
        <v>1620</v>
      </c>
      <c r="D19" s="281">
        <v>0</v>
      </c>
      <c r="E19" s="281">
        <v>3368448</v>
      </c>
      <c r="F19" s="281">
        <v>472962.32716602052</v>
      </c>
      <c r="G19" s="281">
        <f t="shared" si="0"/>
        <v>3841410.3271660204</v>
      </c>
    </row>
    <row r="20" spans="2:7" x14ac:dyDescent="0.25">
      <c r="B20" s="230">
        <v>14</v>
      </c>
      <c r="C20" s="280" t="s">
        <v>465</v>
      </c>
      <c r="D20" s="281">
        <v>13669250</v>
      </c>
      <c r="E20" s="280"/>
      <c r="F20" s="281">
        <v>472962.32716602052</v>
      </c>
      <c r="G20" s="281">
        <f t="shared" si="0"/>
        <v>14142212.327166021</v>
      </c>
    </row>
    <row r="21" spans="2:7" x14ac:dyDescent="0.25">
      <c r="B21" s="230">
        <v>15</v>
      </c>
      <c r="C21" s="280" t="s">
        <v>466</v>
      </c>
      <c r="D21" s="281">
        <v>13669250</v>
      </c>
      <c r="E21" s="280">
        <v>0</v>
      </c>
      <c r="F21" s="281">
        <v>472962.32716602052</v>
      </c>
      <c r="G21" s="281">
        <f t="shared" si="0"/>
        <v>14142212.327166021</v>
      </c>
    </row>
    <row r="22" spans="2:7" x14ac:dyDescent="0.25">
      <c r="B22" s="230">
        <v>16</v>
      </c>
      <c r="C22" s="280" t="s">
        <v>467</v>
      </c>
      <c r="D22" s="281">
        <v>23684850</v>
      </c>
      <c r="E22" s="280">
        <v>0</v>
      </c>
      <c r="F22" s="281">
        <v>472962.32716602052</v>
      </c>
      <c r="G22" s="281">
        <f t="shared" si="0"/>
        <v>24157812.327166021</v>
      </c>
    </row>
    <row r="23" spans="2:7" x14ac:dyDescent="0.25">
      <c r="B23" s="230">
        <v>17</v>
      </c>
      <c r="C23" s="280" t="s">
        <v>1621</v>
      </c>
      <c r="D23" s="281">
        <v>15263570</v>
      </c>
      <c r="E23" s="280">
        <v>0</v>
      </c>
      <c r="F23" s="281">
        <v>472962.32716602052</v>
      </c>
      <c r="G23" s="281">
        <f t="shared" si="0"/>
        <v>15736532.327166021</v>
      </c>
    </row>
    <row r="24" spans="2:7" x14ac:dyDescent="0.25">
      <c r="B24" s="230">
        <v>18</v>
      </c>
      <c r="C24" s="280" t="s">
        <v>468</v>
      </c>
      <c r="D24" s="281">
        <v>8029056</v>
      </c>
      <c r="E24" s="280">
        <v>0</v>
      </c>
      <c r="F24" s="281">
        <v>472962.32716602052</v>
      </c>
      <c r="G24" s="281">
        <f t="shared" si="0"/>
        <v>8502018.3271660209</v>
      </c>
    </row>
    <row r="25" spans="2:7" x14ac:dyDescent="0.25">
      <c r="B25" s="230">
        <v>19</v>
      </c>
      <c r="C25" s="280" t="s">
        <v>469</v>
      </c>
      <c r="D25" s="281">
        <v>3368448</v>
      </c>
      <c r="E25" s="280">
        <v>0</v>
      </c>
      <c r="F25" s="281">
        <v>472962.32716602052</v>
      </c>
      <c r="G25" s="281">
        <f t="shared" si="0"/>
        <v>3841410.3271660204</v>
      </c>
    </row>
    <row r="26" spans="2:7" x14ac:dyDescent="0.25">
      <c r="B26" s="230">
        <v>20</v>
      </c>
      <c r="C26" s="280" t="s">
        <v>470</v>
      </c>
      <c r="D26" s="281">
        <v>3368448</v>
      </c>
      <c r="E26" s="280">
        <v>0</v>
      </c>
      <c r="F26" s="281">
        <v>472962.32716602052</v>
      </c>
      <c r="G26" s="281">
        <f t="shared" si="0"/>
        <v>3841410.3271660204</v>
      </c>
    </row>
    <row r="27" spans="2:7" x14ac:dyDescent="0.25">
      <c r="B27" s="230">
        <v>21</v>
      </c>
      <c r="C27" s="280" t="s">
        <v>1622</v>
      </c>
      <c r="D27" s="281"/>
      <c r="E27" s="281">
        <v>9000000</v>
      </c>
      <c r="F27" s="281">
        <v>472962.32716602052</v>
      </c>
      <c r="G27" s="281">
        <f t="shared" si="0"/>
        <v>9472962.3271660209</v>
      </c>
    </row>
    <row r="28" spans="2:7" x14ac:dyDescent="0.25">
      <c r="B28" s="230">
        <v>22</v>
      </c>
      <c r="C28" s="280" t="s">
        <v>1623</v>
      </c>
      <c r="D28" s="281"/>
      <c r="E28" s="281">
        <v>13200000</v>
      </c>
      <c r="F28" s="281">
        <v>472962.32716602052</v>
      </c>
      <c r="G28" s="281">
        <f t="shared" si="0"/>
        <v>13672962.327166021</v>
      </c>
    </row>
    <row r="29" spans="2:7" x14ac:dyDescent="0.25">
      <c r="B29" s="867" t="s">
        <v>297</v>
      </c>
      <c r="C29" s="867"/>
      <c r="D29" s="192">
        <f>SUM(D7:D28)</f>
        <v>185605322</v>
      </c>
      <c r="E29" s="192">
        <f>SUM(E7:E28)</f>
        <v>94254513</v>
      </c>
      <c r="F29" s="192">
        <f>SUM(F7:F28)</f>
        <v>10405171.197652455</v>
      </c>
      <c r="G29" s="285">
        <f>SUM(G7:G28)</f>
        <v>290265006.19765246</v>
      </c>
    </row>
    <row r="30" spans="2:7" x14ac:dyDescent="0.25">
      <c r="B30" s="259"/>
      <c r="C30" s="259"/>
      <c r="D30" s="259"/>
      <c r="E30" s="259"/>
      <c r="F30" s="259"/>
      <c r="G30" s="596"/>
    </row>
    <row r="31" spans="2:7" x14ac:dyDescent="0.25">
      <c r="E31" s="868" t="s">
        <v>161</v>
      </c>
      <c r="F31" s="869"/>
      <c r="G31" s="597">
        <f>+G29</f>
        <v>290265006.19765246</v>
      </c>
    </row>
  </sheetData>
  <mergeCells count="10">
    <mergeCell ref="B3:G3"/>
    <mergeCell ref="B4:G4"/>
    <mergeCell ref="B29:C29"/>
    <mergeCell ref="E31:F31"/>
    <mergeCell ref="C5:C6"/>
    <mergeCell ref="D5:D6"/>
    <mergeCell ref="B5:B6"/>
    <mergeCell ref="E5:E6"/>
    <mergeCell ref="F5:F6"/>
    <mergeCell ref="G5:G6"/>
  </mergeCells>
  <pageMargins left="0.7" right="0.7" top="0.75" bottom="0.75" header="0.3" footer="0.3"/>
  <pageSetup paperSize="5" scale="90" orientation="portrait" r:id="rId1"/>
  <headerFooter>
    <oddFooter xml:space="preserve">&amp;C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00B0F0"/>
  </sheetPr>
  <dimension ref="C3:U113"/>
  <sheetViews>
    <sheetView view="pageLayout" topLeftCell="F1" zoomScaleNormal="90" workbookViewId="0">
      <selection activeCell="F48" sqref="A48:XFD48"/>
    </sheetView>
  </sheetViews>
  <sheetFormatPr baseColWidth="10" defaultRowHeight="12" x14ac:dyDescent="0.2"/>
  <cols>
    <col min="1" max="2" width="11.42578125" style="159"/>
    <col min="3" max="3" width="3.42578125" style="159" bestFit="1" customWidth="1"/>
    <col min="4" max="4" width="8.5703125" style="159" customWidth="1"/>
    <col min="5" max="5" width="10.5703125" style="159" customWidth="1"/>
    <col min="6" max="6" width="9" style="208" customWidth="1"/>
    <col min="7" max="7" width="8.7109375" style="208" customWidth="1"/>
    <col min="8" max="8" width="13.28515625" style="159" customWidth="1"/>
    <col min="9" max="9" width="8.5703125" style="208" customWidth="1"/>
    <col min="10" max="10" width="12.42578125" style="208" customWidth="1"/>
    <col min="11" max="11" width="9.85546875" style="208" customWidth="1"/>
    <col min="12" max="12" width="9" style="208" customWidth="1"/>
    <col min="13" max="13" width="10.140625" style="208" customWidth="1"/>
    <col min="14" max="14" width="10.85546875" style="208" customWidth="1"/>
    <col min="15" max="15" width="10" style="208" customWidth="1"/>
    <col min="16" max="16" width="9.7109375" style="208" customWidth="1"/>
    <col min="17" max="17" width="11.140625" style="208" customWidth="1"/>
    <col min="18" max="18" width="9.7109375" style="208" customWidth="1"/>
    <col min="19" max="19" width="11.28515625" style="208" customWidth="1"/>
    <col min="20" max="20" width="11" style="208" customWidth="1"/>
    <col min="21" max="21" width="12.42578125" style="208" customWidth="1"/>
    <col min="22" max="22" width="11.42578125" style="159" customWidth="1"/>
    <col min="23" max="16384" width="11.42578125" style="159"/>
  </cols>
  <sheetData>
    <row r="3" spans="3:21" ht="15" customHeight="1" x14ac:dyDescent="0.2">
      <c r="C3" s="934" t="s">
        <v>471</v>
      </c>
      <c r="D3" s="948"/>
      <c r="E3" s="948"/>
      <c r="F3" s="948"/>
      <c r="G3" s="948"/>
      <c r="H3" s="948"/>
      <c r="I3" s="948"/>
      <c r="J3" s="948"/>
      <c r="K3" s="948"/>
      <c r="L3" s="948"/>
      <c r="M3" s="948"/>
      <c r="N3" s="948"/>
      <c r="O3" s="948"/>
      <c r="P3" s="948"/>
      <c r="Q3" s="948"/>
      <c r="R3" s="948"/>
      <c r="S3" s="948"/>
      <c r="T3" s="948"/>
      <c r="U3" s="935"/>
    </row>
    <row r="4" spans="3:21" ht="15" customHeight="1" x14ac:dyDescent="0.2">
      <c r="C4" s="934" t="s">
        <v>1403</v>
      </c>
      <c r="D4" s="948"/>
      <c r="E4" s="948"/>
      <c r="F4" s="948"/>
      <c r="G4" s="948"/>
      <c r="H4" s="948"/>
      <c r="I4" s="948"/>
      <c r="J4" s="948"/>
      <c r="K4" s="948"/>
      <c r="L4" s="948"/>
      <c r="M4" s="948"/>
      <c r="N4" s="948"/>
      <c r="O4" s="948"/>
      <c r="P4" s="948"/>
      <c r="Q4" s="948"/>
      <c r="R4" s="948"/>
      <c r="S4" s="948"/>
      <c r="T4" s="948"/>
      <c r="U4" s="935"/>
    </row>
    <row r="5" spans="3:21" ht="15" customHeight="1" x14ac:dyDescent="0.2">
      <c r="C5" s="944" t="s">
        <v>472</v>
      </c>
      <c r="D5" s="967" t="s">
        <v>287</v>
      </c>
      <c r="E5" s="967"/>
      <c r="F5" s="929" t="s">
        <v>314</v>
      </c>
      <c r="G5" s="915" t="s">
        <v>474</v>
      </c>
      <c r="H5" s="969" t="s">
        <v>476</v>
      </c>
      <c r="I5" s="929" t="s">
        <v>477</v>
      </c>
      <c r="J5" s="929" t="s">
        <v>478</v>
      </c>
      <c r="K5" s="929" t="s">
        <v>1655</v>
      </c>
      <c r="L5" s="929" t="s">
        <v>479</v>
      </c>
      <c r="M5" s="929" t="s">
        <v>481</v>
      </c>
      <c r="N5" s="929" t="s">
        <v>482</v>
      </c>
      <c r="O5" s="929" t="s">
        <v>320</v>
      </c>
      <c r="P5" s="929" t="s">
        <v>483</v>
      </c>
      <c r="Q5" s="929" t="s">
        <v>1443</v>
      </c>
      <c r="R5" s="929" t="s">
        <v>1454</v>
      </c>
      <c r="S5" s="929" t="s">
        <v>484</v>
      </c>
      <c r="T5" s="929" t="s">
        <v>1452</v>
      </c>
      <c r="U5" s="874" t="s">
        <v>298</v>
      </c>
    </row>
    <row r="6" spans="3:21" x14ac:dyDescent="0.2">
      <c r="C6" s="944"/>
      <c r="D6" s="967"/>
      <c r="E6" s="967"/>
      <c r="F6" s="929"/>
      <c r="G6" s="968"/>
      <c r="H6" s="969"/>
      <c r="I6" s="929"/>
      <c r="J6" s="929"/>
      <c r="K6" s="929"/>
      <c r="L6" s="929"/>
      <c r="M6" s="929"/>
      <c r="N6" s="929"/>
      <c r="O6" s="929"/>
      <c r="P6" s="929"/>
      <c r="Q6" s="929"/>
      <c r="R6" s="929"/>
      <c r="S6" s="929"/>
      <c r="T6" s="929"/>
      <c r="U6" s="875"/>
    </row>
    <row r="7" spans="3:21" ht="54.75" customHeight="1" x14ac:dyDescent="0.2">
      <c r="C7" s="944"/>
      <c r="D7" s="967"/>
      <c r="E7" s="967"/>
      <c r="F7" s="929"/>
      <c r="G7" s="916"/>
      <c r="H7" s="969"/>
      <c r="I7" s="929"/>
      <c r="J7" s="929"/>
      <c r="K7" s="929"/>
      <c r="L7" s="929"/>
      <c r="M7" s="929"/>
      <c r="N7" s="929"/>
      <c r="O7" s="929"/>
      <c r="P7" s="929"/>
      <c r="Q7" s="929"/>
      <c r="R7" s="929"/>
      <c r="S7" s="929"/>
      <c r="T7" s="929"/>
      <c r="U7" s="876"/>
    </row>
    <row r="8" spans="3:21" x14ac:dyDescent="0.2">
      <c r="C8" s="516">
        <v>1</v>
      </c>
      <c r="D8" s="966" t="s">
        <v>241</v>
      </c>
      <c r="E8" s="966"/>
      <c r="F8" s="204">
        <v>0</v>
      </c>
      <c r="G8" s="204">
        <v>0</v>
      </c>
      <c r="H8" s="186">
        <v>0</v>
      </c>
      <c r="I8" s="204"/>
      <c r="J8" s="204">
        <v>1007500</v>
      </c>
      <c r="K8" s="204">
        <v>520000</v>
      </c>
      <c r="L8" s="144">
        <v>91499.98</v>
      </c>
      <c r="M8" s="204">
        <v>364000</v>
      </c>
      <c r="N8" s="204">
        <v>240000</v>
      </c>
      <c r="O8" s="204"/>
      <c r="P8" s="204">
        <v>0</v>
      </c>
      <c r="Q8" s="204">
        <v>4400000</v>
      </c>
      <c r="R8" s="204">
        <v>468000</v>
      </c>
      <c r="S8" s="204">
        <v>0</v>
      </c>
      <c r="T8" s="204">
        <v>6500000</v>
      </c>
      <c r="U8" s="204">
        <f t="shared" ref="U8:U47" si="0">SUM(F8:T8)</f>
        <v>13590999.98</v>
      </c>
    </row>
    <row r="9" spans="3:21" x14ac:dyDescent="0.2">
      <c r="C9" s="516">
        <v>2</v>
      </c>
      <c r="D9" s="966" t="s">
        <v>242</v>
      </c>
      <c r="E9" s="966"/>
      <c r="F9" s="204">
        <v>280000</v>
      </c>
      <c r="G9" s="204">
        <v>1200000</v>
      </c>
      <c r="H9" s="186">
        <v>2448746</v>
      </c>
      <c r="I9" s="204">
        <v>600000</v>
      </c>
      <c r="J9" s="204">
        <v>15112500</v>
      </c>
      <c r="K9" s="204">
        <v>6760000</v>
      </c>
      <c r="L9" s="144">
        <v>91499.98</v>
      </c>
      <c r="M9" s="204">
        <v>364000</v>
      </c>
      <c r="N9" s="204">
        <v>720000</v>
      </c>
      <c r="O9" s="204">
        <v>2790000</v>
      </c>
      <c r="P9" s="204">
        <v>11169560</v>
      </c>
      <c r="Q9" s="204">
        <v>2200000</v>
      </c>
      <c r="R9" s="204">
        <v>468000</v>
      </c>
      <c r="S9" s="204">
        <v>54390000</v>
      </c>
      <c r="T9" s="204">
        <v>6500000</v>
      </c>
      <c r="U9" s="204">
        <f t="shared" si="0"/>
        <v>105094305.98</v>
      </c>
    </row>
    <row r="10" spans="3:21" x14ac:dyDescent="0.2">
      <c r="C10" s="516">
        <v>3</v>
      </c>
      <c r="D10" s="966" t="s">
        <v>243</v>
      </c>
      <c r="E10" s="966"/>
      <c r="F10" s="204">
        <v>0</v>
      </c>
      <c r="G10" s="204">
        <v>0</v>
      </c>
      <c r="H10" s="186">
        <v>0</v>
      </c>
      <c r="I10" s="204"/>
      <c r="J10" s="204">
        <v>1007500</v>
      </c>
      <c r="K10" s="204">
        <v>520000</v>
      </c>
      <c r="L10" s="144">
        <v>91499.98</v>
      </c>
      <c r="M10" s="204">
        <v>364000</v>
      </c>
      <c r="N10" s="204">
        <v>240000</v>
      </c>
      <c r="O10" s="204"/>
      <c r="P10" s="204"/>
      <c r="Q10" s="204">
        <v>2200000</v>
      </c>
      <c r="R10" s="204">
        <v>468000</v>
      </c>
      <c r="S10" s="204">
        <v>0</v>
      </c>
      <c r="T10" s="204">
        <v>0</v>
      </c>
      <c r="U10" s="204">
        <f t="shared" si="0"/>
        <v>4890999.9800000004</v>
      </c>
    </row>
    <row r="11" spans="3:21" x14ac:dyDescent="0.2">
      <c r="C11" s="516">
        <v>4</v>
      </c>
      <c r="D11" s="966" t="s">
        <v>244</v>
      </c>
      <c r="E11" s="966"/>
      <c r="F11" s="204">
        <v>0</v>
      </c>
      <c r="G11" s="204">
        <v>0</v>
      </c>
      <c r="H11" s="186">
        <v>0</v>
      </c>
      <c r="I11" s="204"/>
      <c r="J11" s="204">
        <v>1007500</v>
      </c>
      <c r="K11" s="204">
        <v>520000</v>
      </c>
      <c r="L11" s="144">
        <v>91499.98</v>
      </c>
      <c r="M11" s="204">
        <v>364000</v>
      </c>
      <c r="N11" s="204">
        <v>240000</v>
      </c>
      <c r="O11" s="204"/>
      <c r="P11" s="204"/>
      <c r="Q11" s="204">
        <v>4400000</v>
      </c>
      <c r="R11" s="204">
        <v>468000</v>
      </c>
      <c r="S11" s="204">
        <v>0</v>
      </c>
      <c r="T11" s="204">
        <v>6500000</v>
      </c>
      <c r="U11" s="204">
        <f t="shared" si="0"/>
        <v>13590999.98</v>
      </c>
    </row>
    <row r="12" spans="3:21" x14ac:dyDescent="0.2">
      <c r="C12" s="516">
        <v>5</v>
      </c>
      <c r="D12" s="966" t="s">
        <v>245</v>
      </c>
      <c r="E12" s="966"/>
      <c r="F12" s="204">
        <v>0</v>
      </c>
      <c r="G12" s="204">
        <v>0</v>
      </c>
      <c r="H12" s="186">
        <v>0</v>
      </c>
      <c r="I12" s="204"/>
      <c r="J12" s="204">
        <v>1007500</v>
      </c>
      <c r="K12" s="204">
        <v>260000</v>
      </c>
      <c r="L12" s="144">
        <v>91499.98</v>
      </c>
      <c r="M12" s="204">
        <v>364000</v>
      </c>
      <c r="N12" s="204">
        <v>240000</v>
      </c>
      <c r="O12" s="204"/>
      <c r="P12" s="204"/>
      <c r="Q12" s="204">
        <v>2200000</v>
      </c>
      <c r="R12" s="204">
        <v>468000</v>
      </c>
      <c r="S12" s="204">
        <v>0</v>
      </c>
      <c r="T12" s="204">
        <v>0</v>
      </c>
      <c r="U12" s="204">
        <f t="shared" si="0"/>
        <v>4630999.9800000004</v>
      </c>
    </row>
    <row r="13" spans="3:21" x14ac:dyDescent="0.2">
      <c r="C13" s="516">
        <v>6</v>
      </c>
      <c r="D13" s="966" t="s">
        <v>246</v>
      </c>
      <c r="E13" s="966"/>
      <c r="F13" s="204">
        <v>0</v>
      </c>
      <c r="G13" s="204">
        <v>0</v>
      </c>
      <c r="H13" s="186">
        <v>0</v>
      </c>
      <c r="I13" s="204"/>
      <c r="J13" s="204">
        <v>1007500</v>
      </c>
      <c r="K13" s="204">
        <v>520000</v>
      </c>
      <c r="L13" s="144">
        <v>91499.98</v>
      </c>
      <c r="M13" s="204">
        <v>364000</v>
      </c>
      <c r="N13" s="204">
        <v>240000</v>
      </c>
      <c r="O13" s="204"/>
      <c r="P13" s="204"/>
      <c r="Q13" s="204">
        <v>2200000</v>
      </c>
      <c r="R13" s="204">
        <v>468000</v>
      </c>
      <c r="S13" s="204">
        <v>0</v>
      </c>
      <c r="T13" s="204">
        <v>6500000</v>
      </c>
      <c r="U13" s="204">
        <f t="shared" si="0"/>
        <v>11390999.98</v>
      </c>
    </row>
    <row r="14" spans="3:21" x14ac:dyDescent="0.2">
      <c r="C14" s="516">
        <v>7</v>
      </c>
      <c r="D14" s="966" t="s">
        <v>247</v>
      </c>
      <c r="E14" s="966"/>
      <c r="F14" s="204">
        <v>0</v>
      </c>
      <c r="G14" s="204">
        <v>0</v>
      </c>
      <c r="H14" s="186">
        <v>0</v>
      </c>
      <c r="I14" s="204"/>
      <c r="J14" s="204">
        <v>1007500</v>
      </c>
      <c r="K14" s="204">
        <v>520000</v>
      </c>
      <c r="L14" s="144">
        <v>91499.98</v>
      </c>
      <c r="M14" s="204">
        <v>364000</v>
      </c>
      <c r="N14" s="204">
        <v>240000</v>
      </c>
      <c r="O14" s="204"/>
      <c r="P14" s="204"/>
      <c r="Q14" s="204">
        <v>2200000</v>
      </c>
      <c r="R14" s="204">
        <v>468000</v>
      </c>
      <c r="S14" s="204">
        <v>0</v>
      </c>
      <c r="T14" s="204">
        <v>6500000</v>
      </c>
      <c r="U14" s="204">
        <f t="shared" si="0"/>
        <v>11390999.98</v>
      </c>
    </row>
    <row r="15" spans="3:21" x14ac:dyDescent="0.2">
      <c r="C15" s="516">
        <v>8</v>
      </c>
      <c r="D15" s="966" t="s">
        <v>248</v>
      </c>
      <c r="E15" s="966"/>
      <c r="F15" s="204">
        <v>0</v>
      </c>
      <c r="G15" s="204">
        <v>0</v>
      </c>
      <c r="H15" s="186">
        <v>0</v>
      </c>
      <c r="I15" s="204"/>
      <c r="J15" s="204">
        <v>1007500</v>
      </c>
      <c r="K15" s="204">
        <v>260000</v>
      </c>
      <c r="L15" s="144">
        <v>91499.98</v>
      </c>
      <c r="M15" s="204">
        <v>364000</v>
      </c>
      <c r="N15" s="204">
        <v>240000</v>
      </c>
      <c r="O15" s="204"/>
      <c r="P15" s="204"/>
      <c r="Q15" s="204">
        <v>2200000</v>
      </c>
      <c r="R15" s="204">
        <v>468000</v>
      </c>
      <c r="S15" s="204">
        <v>0</v>
      </c>
      <c r="T15" s="204">
        <v>6500000</v>
      </c>
      <c r="U15" s="204">
        <f t="shared" si="0"/>
        <v>11130999.98</v>
      </c>
    </row>
    <row r="16" spans="3:21" x14ac:dyDescent="0.2">
      <c r="C16" s="516">
        <v>9</v>
      </c>
      <c r="D16" s="966" t="s">
        <v>249</v>
      </c>
      <c r="E16" s="966"/>
      <c r="F16" s="204">
        <v>0</v>
      </c>
      <c r="G16" s="204">
        <v>0</v>
      </c>
      <c r="H16" s="186">
        <v>0</v>
      </c>
      <c r="I16" s="204"/>
      <c r="J16" s="204">
        <v>1007500</v>
      </c>
      <c r="K16" s="204">
        <v>260000</v>
      </c>
      <c r="L16" s="144">
        <v>91499.98</v>
      </c>
      <c r="M16" s="204"/>
      <c r="N16" s="204">
        <v>240000</v>
      </c>
      <c r="O16" s="204"/>
      <c r="P16" s="204"/>
      <c r="Q16" s="204">
        <v>2200000</v>
      </c>
      <c r="R16" s="204">
        <v>0</v>
      </c>
      <c r="S16" s="204">
        <v>0</v>
      </c>
      <c r="T16" s="204">
        <v>0</v>
      </c>
      <c r="U16" s="204">
        <f t="shared" si="0"/>
        <v>3798999.98</v>
      </c>
    </row>
    <row r="17" spans="3:21" x14ac:dyDescent="0.2">
      <c r="C17" s="516">
        <v>10</v>
      </c>
      <c r="D17" s="966" t="s">
        <v>250</v>
      </c>
      <c r="E17" s="966"/>
      <c r="F17" s="204">
        <v>0</v>
      </c>
      <c r="G17" s="204">
        <v>0</v>
      </c>
      <c r="H17" s="186">
        <v>0</v>
      </c>
      <c r="I17" s="204"/>
      <c r="J17" s="204">
        <v>1007500</v>
      </c>
      <c r="K17" s="204">
        <v>520000</v>
      </c>
      <c r="L17" s="144">
        <v>91499.98</v>
      </c>
      <c r="M17" s="204">
        <v>364000</v>
      </c>
      <c r="N17" s="204">
        <v>240000</v>
      </c>
      <c r="O17" s="204"/>
      <c r="P17" s="204"/>
      <c r="Q17" s="204">
        <v>2200000</v>
      </c>
      <c r="R17" s="204">
        <v>468000</v>
      </c>
      <c r="S17" s="204">
        <v>0</v>
      </c>
      <c r="T17" s="204">
        <v>0</v>
      </c>
      <c r="U17" s="204">
        <f t="shared" si="0"/>
        <v>4890999.9800000004</v>
      </c>
    </row>
    <row r="18" spans="3:21" x14ac:dyDescent="0.2">
      <c r="C18" s="516">
        <v>11</v>
      </c>
      <c r="D18" s="966" t="s">
        <v>251</v>
      </c>
      <c r="E18" s="966"/>
      <c r="F18" s="204">
        <v>0</v>
      </c>
      <c r="G18" s="204">
        <v>0</v>
      </c>
      <c r="H18" s="186">
        <v>0</v>
      </c>
      <c r="I18" s="204"/>
      <c r="J18" s="204">
        <v>1007500</v>
      </c>
      <c r="K18" s="204">
        <v>520000</v>
      </c>
      <c r="L18" s="144">
        <v>91499.98</v>
      </c>
      <c r="M18" s="204">
        <v>364000</v>
      </c>
      <c r="N18" s="204">
        <v>240000</v>
      </c>
      <c r="O18" s="204"/>
      <c r="P18" s="204"/>
      <c r="Q18" s="204">
        <v>2200000</v>
      </c>
      <c r="R18" s="204">
        <v>468000</v>
      </c>
      <c r="S18" s="204">
        <v>0</v>
      </c>
      <c r="T18" s="204">
        <v>0</v>
      </c>
      <c r="U18" s="204">
        <f t="shared" si="0"/>
        <v>4890999.9800000004</v>
      </c>
    </row>
    <row r="19" spans="3:21" x14ac:dyDescent="0.2">
      <c r="C19" s="516">
        <v>12</v>
      </c>
      <c r="D19" s="966" t="s">
        <v>252</v>
      </c>
      <c r="E19" s="966"/>
      <c r="F19" s="204">
        <v>0</v>
      </c>
      <c r="G19" s="204">
        <v>0</v>
      </c>
      <c r="H19" s="186">
        <v>0</v>
      </c>
      <c r="I19" s="204"/>
      <c r="J19" s="204">
        <v>1007500</v>
      </c>
      <c r="K19" s="204">
        <v>520000</v>
      </c>
      <c r="L19" s="144">
        <v>91499.98</v>
      </c>
      <c r="M19" s="204">
        <v>364000</v>
      </c>
      <c r="N19" s="204">
        <v>240000</v>
      </c>
      <c r="O19" s="204"/>
      <c r="P19" s="204"/>
      <c r="Q19" s="204">
        <v>2200000</v>
      </c>
      <c r="R19" s="204">
        <v>468000</v>
      </c>
      <c r="S19" s="204">
        <v>0</v>
      </c>
      <c r="T19" s="204">
        <v>0</v>
      </c>
      <c r="U19" s="204">
        <f t="shared" si="0"/>
        <v>4890999.9800000004</v>
      </c>
    </row>
    <row r="20" spans="3:21" x14ac:dyDescent="0.2">
      <c r="C20" s="516">
        <v>13</v>
      </c>
      <c r="D20" s="966" t="s">
        <v>253</v>
      </c>
      <c r="E20" s="966"/>
      <c r="F20" s="204">
        <v>0</v>
      </c>
      <c r="G20" s="204">
        <v>0</v>
      </c>
      <c r="H20" s="186">
        <v>0</v>
      </c>
      <c r="I20" s="204"/>
      <c r="J20" s="204">
        <v>1007500</v>
      </c>
      <c r="K20" s="204">
        <v>520000</v>
      </c>
      <c r="L20" s="144">
        <v>91499.98</v>
      </c>
      <c r="M20" s="204">
        <v>364000</v>
      </c>
      <c r="N20" s="204">
        <v>240000</v>
      </c>
      <c r="O20" s="204"/>
      <c r="P20" s="204"/>
      <c r="Q20" s="204">
        <v>2200000</v>
      </c>
      <c r="R20" s="204">
        <v>468000</v>
      </c>
      <c r="S20" s="204">
        <v>0</v>
      </c>
      <c r="T20" s="204">
        <v>0</v>
      </c>
      <c r="U20" s="204">
        <f t="shared" si="0"/>
        <v>4890999.9800000004</v>
      </c>
    </row>
    <row r="21" spans="3:21" x14ac:dyDescent="0.2">
      <c r="C21" s="516">
        <v>14</v>
      </c>
      <c r="D21" s="966" t="s">
        <v>254</v>
      </c>
      <c r="E21" s="966"/>
      <c r="F21" s="204">
        <v>0</v>
      </c>
      <c r="G21" s="204">
        <v>0</v>
      </c>
      <c r="H21" s="186">
        <v>0</v>
      </c>
      <c r="I21" s="204"/>
      <c r="J21" s="204">
        <v>1007500</v>
      </c>
      <c r="K21" s="204">
        <v>520000</v>
      </c>
      <c r="L21" s="144">
        <v>91499.98</v>
      </c>
      <c r="M21" s="204">
        <v>364000</v>
      </c>
      <c r="N21" s="204">
        <v>240000</v>
      </c>
      <c r="O21" s="204"/>
      <c r="P21" s="204"/>
      <c r="Q21" s="204">
        <v>2200000</v>
      </c>
      <c r="R21" s="204">
        <v>468000</v>
      </c>
      <c r="S21" s="204">
        <v>0</v>
      </c>
      <c r="T21" s="204">
        <v>0</v>
      </c>
      <c r="U21" s="204">
        <f t="shared" si="0"/>
        <v>4890999.9800000004</v>
      </c>
    </row>
    <row r="22" spans="3:21" x14ac:dyDescent="0.2">
      <c r="C22" s="516">
        <v>15</v>
      </c>
      <c r="D22" s="966" t="s">
        <v>255</v>
      </c>
      <c r="E22" s="966"/>
      <c r="F22" s="204">
        <v>0</v>
      </c>
      <c r="G22" s="204">
        <v>0</v>
      </c>
      <c r="H22" s="186">
        <v>0</v>
      </c>
      <c r="I22" s="204"/>
      <c r="J22" s="204">
        <v>503750</v>
      </c>
      <c r="K22" s="204">
        <v>260000</v>
      </c>
      <c r="L22" s="144">
        <v>91499.98</v>
      </c>
      <c r="M22" s="204">
        <v>364000</v>
      </c>
      <c r="N22" s="204">
        <v>240000</v>
      </c>
      <c r="O22" s="204"/>
      <c r="P22" s="204"/>
      <c r="Q22" s="204">
        <v>2200000</v>
      </c>
      <c r="R22" s="204">
        <v>468000</v>
      </c>
      <c r="S22" s="204">
        <v>0</v>
      </c>
      <c r="T22" s="204">
        <v>6500000</v>
      </c>
      <c r="U22" s="204">
        <f t="shared" si="0"/>
        <v>10627249.98</v>
      </c>
    </row>
    <row r="23" spans="3:21" x14ac:dyDescent="0.2">
      <c r="C23" s="516">
        <v>16</v>
      </c>
      <c r="D23" s="966" t="s">
        <v>256</v>
      </c>
      <c r="E23" s="966"/>
      <c r="F23" s="204">
        <v>0</v>
      </c>
      <c r="G23" s="204">
        <v>0</v>
      </c>
      <c r="H23" s="186">
        <v>0</v>
      </c>
      <c r="I23" s="204"/>
      <c r="J23" s="204">
        <v>1007500</v>
      </c>
      <c r="K23" s="204">
        <v>260000</v>
      </c>
      <c r="L23" s="144">
        <v>91499.98</v>
      </c>
      <c r="M23" s="204">
        <v>364000</v>
      </c>
      <c r="N23" s="204">
        <v>240000</v>
      </c>
      <c r="O23" s="204"/>
      <c r="P23" s="204"/>
      <c r="Q23" s="204">
        <v>2200000</v>
      </c>
      <c r="R23" s="204">
        <v>468000</v>
      </c>
      <c r="S23" s="204">
        <v>0</v>
      </c>
      <c r="T23" s="204">
        <v>6500000</v>
      </c>
      <c r="U23" s="204">
        <f t="shared" si="0"/>
        <v>11130999.98</v>
      </c>
    </row>
    <row r="24" spans="3:21" x14ac:dyDescent="0.2">
      <c r="C24" s="516">
        <v>17</v>
      </c>
      <c r="D24" s="966" t="s">
        <v>257</v>
      </c>
      <c r="E24" s="966"/>
      <c r="F24" s="204">
        <v>0</v>
      </c>
      <c r="G24" s="204">
        <v>0</v>
      </c>
      <c r="H24" s="186">
        <v>0</v>
      </c>
      <c r="I24" s="204"/>
      <c r="J24" s="204">
        <v>1007500</v>
      </c>
      <c r="K24" s="204">
        <v>260000</v>
      </c>
      <c r="L24" s="144">
        <v>91499.98</v>
      </c>
      <c r="M24" s="204">
        <v>364000</v>
      </c>
      <c r="N24" s="204">
        <v>240000</v>
      </c>
      <c r="O24" s="204"/>
      <c r="P24" s="204"/>
      <c r="Q24" s="204">
        <v>2200000</v>
      </c>
      <c r="R24" s="204">
        <v>468000</v>
      </c>
      <c r="S24" s="204">
        <v>0</v>
      </c>
      <c r="T24" s="204">
        <v>0</v>
      </c>
      <c r="U24" s="204">
        <f t="shared" si="0"/>
        <v>4630999.9800000004</v>
      </c>
    </row>
    <row r="25" spans="3:21" x14ac:dyDescent="0.2">
      <c r="C25" s="516">
        <v>18</v>
      </c>
      <c r="D25" s="966" t="s">
        <v>258</v>
      </c>
      <c r="E25" s="966"/>
      <c r="F25" s="204">
        <v>0</v>
      </c>
      <c r="G25" s="204">
        <v>0</v>
      </c>
      <c r="H25" s="186">
        <v>0</v>
      </c>
      <c r="I25" s="204"/>
      <c r="J25" s="204">
        <v>1007500</v>
      </c>
      <c r="K25" s="204">
        <v>520000</v>
      </c>
      <c r="L25" s="144">
        <v>91499.98</v>
      </c>
      <c r="M25" s="204">
        <v>364000</v>
      </c>
      <c r="N25" s="204">
        <v>240000</v>
      </c>
      <c r="O25" s="204"/>
      <c r="P25" s="204"/>
      <c r="Q25" s="204">
        <v>2200000</v>
      </c>
      <c r="R25" s="204">
        <v>468000</v>
      </c>
      <c r="S25" s="204">
        <v>0</v>
      </c>
      <c r="T25" s="204">
        <v>6500000</v>
      </c>
      <c r="U25" s="204">
        <f t="shared" si="0"/>
        <v>11390999.98</v>
      </c>
    </row>
    <row r="26" spans="3:21" x14ac:dyDescent="0.2">
      <c r="C26" s="516">
        <v>19</v>
      </c>
      <c r="D26" s="966" t="s">
        <v>259</v>
      </c>
      <c r="E26" s="966"/>
      <c r="F26" s="204">
        <v>280000</v>
      </c>
      <c r="G26" s="204">
        <v>1200000</v>
      </c>
      <c r="H26" s="186">
        <v>2448746</v>
      </c>
      <c r="I26" s="204">
        <v>1200000</v>
      </c>
      <c r="J26" s="204">
        <v>7556250</v>
      </c>
      <c r="K26" s="204">
        <v>2600000</v>
      </c>
      <c r="L26" s="144">
        <v>91499.98</v>
      </c>
      <c r="M26" s="204">
        <v>364000</v>
      </c>
      <c r="N26" s="204">
        <v>720000</v>
      </c>
      <c r="O26" s="204">
        <v>2790000</v>
      </c>
      <c r="P26" s="204">
        <v>11169560</v>
      </c>
      <c r="Q26" s="204">
        <v>11000000</v>
      </c>
      <c r="R26" s="204">
        <v>468000</v>
      </c>
      <c r="S26" s="204">
        <v>0</v>
      </c>
      <c r="T26" s="204">
        <v>0</v>
      </c>
      <c r="U26" s="204">
        <f t="shared" si="0"/>
        <v>41888055.980000004</v>
      </c>
    </row>
    <row r="27" spans="3:21" x14ac:dyDescent="0.2">
      <c r="C27" s="516">
        <v>20</v>
      </c>
      <c r="D27" s="966" t="s">
        <v>260</v>
      </c>
      <c r="E27" s="966"/>
      <c r="F27" s="204">
        <v>0</v>
      </c>
      <c r="G27" s="204">
        <v>0</v>
      </c>
      <c r="H27" s="186">
        <v>0</v>
      </c>
      <c r="I27" s="204"/>
      <c r="J27" s="204">
        <v>503750</v>
      </c>
      <c r="K27" s="204">
        <v>260000</v>
      </c>
      <c r="L27" s="144">
        <v>91499.98</v>
      </c>
      <c r="M27" s="204">
        <v>364000</v>
      </c>
      <c r="N27" s="204">
        <v>240000</v>
      </c>
      <c r="O27" s="204"/>
      <c r="P27" s="204"/>
      <c r="Q27" s="204">
        <v>2200000</v>
      </c>
      <c r="R27" s="204">
        <v>468000</v>
      </c>
      <c r="S27" s="204">
        <v>0</v>
      </c>
      <c r="T27" s="204">
        <v>0</v>
      </c>
      <c r="U27" s="204">
        <f t="shared" si="0"/>
        <v>4127249.98</v>
      </c>
    </row>
    <row r="28" spans="3:21" x14ac:dyDescent="0.2">
      <c r="C28" s="516">
        <v>21</v>
      </c>
      <c r="D28" s="966" t="s">
        <v>261</v>
      </c>
      <c r="E28" s="966"/>
      <c r="F28" s="204">
        <v>0</v>
      </c>
      <c r="G28" s="204">
        <v>0</v>
      </c>
      <c r="H28" s="186">
        <v>0</v>
      </c>
      <c r="I28" s="204"/>
      <c r="J28" s="204">
        <v>1007500</v>
      </c>
      <c r="K28" s="204">
        <v>520000</v>
      </c>
      <c r="L28" s="144">
        <v>91499.98</v>
      </c>
      <c r="M28" s="204">
        <v>364000</v>
      </c>
      <c r="N28" s="204">
        <v>240000</v>
      </c>
      <c r="O28" s="204"/>
      <c r="P28" s="204"/>
      <c r="Q28" s="204">
        <v>4400000</v>
      </c>
      <c r="R28" s="204">
        <v>468000</v>
      </c>
      <c r="S28" s="204">
        <v>0</v>
      </c>
      <c r="T28" s="204">
        <v>6500000</v>
      </c>
      <c r="U28" s="204">
        <f t="shared" si="0"/>
        <v>13590999.98</v>
      </c>
    </row>
    <row r="29" spans="3:21" x14ac:dyDescent="0.2">
      <c r="C29" s="516">
        <v>22</v>
      </c>
      <c r="D29" s="966" t="s">
        <v>262</v>
      </c>
      <c r="E29" s="966"/>
      <c r="F29" s="204">
        <v>0</v>
      </c>
      <c r="G29" s="204">
        <v>0</v>
      </c>
      <c r="H29" s="186">
        <v>0</v>
      </c>
      <c r="I29" s="204"/>
      <c r="J29" s="204">
        <v>1007500</v>
      </c>
      <c r="K29" s="204">
        <v>260000</v>
      </c>
      <c r="L29" s="144">
        <v>91499.98</v>
      </c>
      <c r="M29" s="204">
        <v>364000</v>
      </c>
      <c r="N29" s="204">
        <v>240000</v>
      </c>
      <c r="O29" s="204"/>
      <c r="P29" s="204"/>
      <c r="Q29" s="204">
        <v>2200000</v>
      </c>
      <c r="R29" s="204">
        <v>468000</v>
      </c>
      <c r="S29" s="204">
        <v>0</v>
      </c>
      <c r="T29" s="204">
        <v>0</v>
      </c>
      <c r="U29" s="204">
        <f t="shared" si="0"/>
        <v>4630999.9800000004</v>
      </c>
    </row>
    <row r="30" spans="3:21" x14ac:dyDescent="0.2">
      <c r="C30" s="516">
        <v>23</v>
      </c>
      <c r="D30" s="966" t="s">
        <v>263</v>
      </c>
      <c r="E30" s="966"/>
      <c r="F30" s="204">
        <v>0</v>
      </c>
      <c r="G30" s="204">
        <v>0</v>
      </c>
      <c r="H30" s="186">
        <v>0</v>
      </c>
      <c r="I30" s="204"/>
      <c r="J30" s="204">
        <v>1007500</v>
      </c>
      <c r="K30" s="204">
        <v>260000</v>
      </c>
      <c r="L30" s="144">
        <v>91499.98</v>
      </c>
      <c r="M30" s="204">
        <v>364000</v>
      </c>
      <c r="N30" s="204">
        <v>240000</v>
      </c>
      <c r="O30" s="204"/>
      <c r="P30" s="204"/>
      <c r="Q30" s="204">
        <v>2200000</v>
      </c>
      <c r="R30" s="204">
        <v>468000</v>
      </c>
      <c r="S30" s="204">
        <v>0</v>
      </c>
      <c r="T30" s="204">
        <v>6500000</v>
      </c>
      <c r="U30" s="204">
        <f t="shared" si="0"/>
        <v>11130999.98</v>
      </c>
    </row>
    <row r="31" spans="3:21" x14ac:dyDescent="0.2">
      <c r="C31" s="516">
        <v>24</v>
      </c>
      <c r="D31" s="966" t="s">
        <v>264</v>
      </c>
      <c r="E31" s="966"/>
      <c r="F31" s="204">
        <v>0</v>
      </c>
      <c r="G31" s="204">
        <v>0</v>
      </c>
      <c r="H31" s="186">
        <v>0</v>
      </c>
      <c r="I31" s="204"/>
      <c r="J31" s="204">
        <v>1007500</v>
      </c>
      <c r="K31" s="204">
        <v>260000</v>
      </c>
      <c r="L31" s="144">
        <v>91499.98</v>
      </c>
      <c r="M31" s="204">
        <v>364000</v>
      </c>
      <c r="N31" s="204">
        <v>240000</v>
      </c>
      <c r="O31" s="204"/>
      <c r="P31" s="204"/>
      <c r="Q31" s="204">
        <v>4400000</v>
      </c>
      <c r="R31" s="204">
        <v>468000</v>
      </c>
      <c r="S31" s="204">
        <v>0</v>
      </c>
      <c r="T31" s="204">
        <v>0</v>
      </c>
      <c r="U31" s="204">
        <f t="shared" si="0"/>
        <v>6830999.9800000004</v>
      </c>
    </row>
    <row r="32" spans="3:21" x14ac:dyDescent="0.2">
      <c r="C32" s="516">
        <v>25</v>
      </c>
      <c r="D32" s="966" t="s">
        <v>265</v>
      </c>
      <c r="E32" s="966"/>
      <c r="F32" s="204">
        <v>280000</v>
      </c>
      <c r="G32" s="204">
        <v>1200000</v>
      </c>
      <c r="H32" s="186">
        <v>2448746</v>
      </c>
      <c r="I32" s="204">
        <v>1200000</v>
      </c>
      <c r="J32" s="204">
        <v>15112500</v>
      </c>
      <c r="K32" s="204">
        <v>3120000</v>
      </c>
      <c r="L32" s="144">
        <v>91499.98</v>
      </c>
      <c r="M32" s="204"/>
      <c r="N32" s="204">
        <v>720000</v>
      </c>
      <c r="O32" s="204"/>
      <c r="P32" s="204">
        <v>11169560</v>
      </c>
      <c r="Q32" s="204">
        <v>8800000</v>
      </c>
      <c r="R32" s="204">
        <v>0</v>
      </c>
      <c r="S32" s="204">
        <v>108780000</v>
      </c>
      <c r="T32" s="204">
        <v>0</v>
      </c>
      <c r="U32" s="204">
        <f t="shared" si="0"/>
        <v>152922305.98000002</v>
      </c>
    </row>
    <row r="33" spans="3:21" x14ac:dyDescent="0.2">
      <c r="C33" s="516">
        <v>26</v>
      </c>
      <c r="D33" s="966" t="s">
        <v>266</v>
      </c>
      <c r="E33" s="966"/>
      <c r="F33" s="204">
        <v>0</v>
      </c>
      <c r="G33" s="204">
        <v>0</v>
      </c>
      <c r="H33" s="186">
        <v>0</v>
      </c>
      <c r="I33" s="204"/>
      <c r="J33" s="204">
        <v>503750</v>
      </c>
      <c r="K33" s="204">
        <v>260000</v>
      </c>
      <c r="L33" s="144">
        <v>91499.98</v>
      </c>
      <c r="M33" s="204">
        <v>364000</v>
      </c>
      <c r="N33" s="204">
        <v>240000</v>
      </c>
      <c r="O33" s="204"/>
      <c r="P33" s="204"/>
      <c r="Q33" s="204">
        <v>2200000</v>
      </c>
      <c r="R33" s="204">
        <v>468000</v>
      </c>
      <c r="S33" s="204">
        <v>0</v>
      </c>
      <c r="T33" s="204">
        <v>6500000</v>
      </c>
      <c r="U33" s="204">
        <f t="shared" si="0"/>
        <v>10627249.98</v>
      </c>
    </row>
    <row r="34" spans="3:21" x14ac:dyDescent="0.2">
      <c r="C34" s="516">
        <v>27</v>
      </c>
      <c r="D34" s="966" t="s">
        <v>267</v>
      </c>
      <c r="E34" s="966"/>
      <c r="F34" s="204">
        <v>0</v>
      </c>
      <c r="G34" s="204">
        <v>0</v>
      </c>
      <c r="H34" s="186">
        <v>0</v>
      </c>
      <c r="I34" s="204"/>
      <c r="J34" s="204">
        <v>1007500</v>
      </c>
      <c r="K34" s="204">
        <v>260000</v>
      </c>
      <c r="L34" s="144">
        <v>91499.98</v>
      </c>
      <c r="M34" s="204">
        <v>364000</v>
      </c>
      <c r="N34" s="204">
        <v>240000</v>
      </c>
      <c r="O34" s="204"/>
      <c r="P34" s="204"/>
      <c r="Q34" s="204">
        <v>2200000</v>
      </c>
      <c r="R34" s="204">
        <v>468000</v>
      </c>
      <c r="S34" s="204">
        <v>0</v>
      </c>
      <c r="T34" s="204">
        <v>6500000</v>
      </c>
      <c r="U34" s="204">
        <f t="shared" si="0"/>
        <v>11130999.98</v>
      </c>
    </row>
    <row r="35" spans="3:21" x14ac:dyDescent="0.2">
      <c r="C35" s="516">
        <v>28</v>
      </c>
      <c r="D35" s="966" t="s">
        <v>268</v>
      </c>
      <c r="E35" s="966"/>
      <c r="F35" s="204">
        <v>0</v>
      </c>
      <c r="G35" s="204">
        <v>0</v>
      </c>
      <c r="H35" s="186">
        <v>0</v>
      </c>
      <c r="I35" s="204"/>
      <c r="J35" s="204">
        <v>1007500</v>
      </c>
      <c r="K35" s="204">
        <v>260000</v>
      </c>
      <c r="L35" s="144">
        <v>91499.98</v>
      </c>
      <c r="M35" s="204">
        <v>364000</v>
      </c>
      <c r="N35" s="204">
        <v>240000</v>
      </c>
      <c r="O35" s="204"/>
      <c r="P35" s="204"/>
      <c r="Q35" s="204">
        <v>2200000</v>
      </c>
      <c r="R35" s="204">
        <v>468000</v>
      </c>
      <c r="S35" s="204">
        <v>0</v>
      </c>
      <c r="T35" s="204">
        <v>0</v>
      </c>
      <c r="U35" s="204">
        <f t="shared" si="0"/>
        <v>4630999.9800000004</v>
      </c>
    </row>
    <row r="36" spans="3:21" x14ac:dyDescent="0.2">
      <c r="C36" s="516">
        <v>29</v>
      </c>
      <c r="D36" s="966" t="s">
        <v>269</v>
      </c>
      <c r="E36" s="966"/>
      <c r="F36" s="204">
        <v>0</v>
      </c>
      <c r="G36" s="204">
        <v>0</v>
      </c>
      <c r="H36" s="186">
        <v>0</v>
      </c>
      <c r="I36" s="204"/>
      <c r="J36" s="204">
        <v>1007500</v>
      </c>
      <c r="K36" s="204">
        <v>260000</v>
      </c>
      <c r="L36" s="144">
        <v>91499.98</v>
      </c>
      <c r="M36" s="204">
        <v>364000</v>
      </c>
      <c r="N36" s="204">
        <v>240000</v>
      </c>
      <c r="O36" s="204"/>
      <c r="P36" s="204"/>
      <c r="Q36" s="204">
        <v>2200000</v>
      </c>
      <c r="R36" s="204">
        <v>468000</v>
      </c>
      <c r="S36" s="204">
        <v>0</v>
      </c>
      <c r="T36" s="204">
        <v>6500000</v>
      </c>
      <c r="U36" s="204">
        <f t="shared" si="0"/>
        <v>11130999.98</v>
      </c>
    </row>
    <row r="37" spans="3:21" x14ac:dyDescent="0.2">
      <c r="C37" s="516">
        <v>30</v>
      </c>
      <c r="D37" s="966" t="s">
        <v>270</v>
      </c>
      <c r="E37" s="966"/>
      <c r="F37" s="204">
        <v>0</v>
      </c>
      <c r="G37" s="204">
        <v>0</v>
      </c>
      <c r="H37" s="186">
        <v>0</v>
      </c>
      <c r="I37" s="204"/>
      <c r="J37" s="204">
        <v>1007500</v>
      </c>
      <c r="K37" s="204">
        <v>260000</v>
      </c>
      <c r="L37" s="144">
        <v>91499.98</v>
      </c>
      <c r="M37" s="204">
        <v>364000</v>
      </c>
      <c r="N37" s="204">
        <v>240000</v>
      </c>
      <c r="O37" s="204"/>
      <c r="P37" s="204"/>
      <c r="Q37" s="204">
        <v>2200000</v>
      </c>
      <c r="R37" s="204">
        <v>468000</v>
      </c>
      <c r="S37" s="204">
        <v>0</v>
      </c>
      <c r="T37" s="204">
        <v>0</v>
      </c>
      <c r="U37" s="204">
        <f t="shared" si="0"/>
        <v>4630999.9800000004</v>
      </c>
    </row>
    <row r="38" spans="3:21" x14ac:dyDescent="0.2">
      <c r="C38" s="516">
        <v>31</v>
      </c>
      <c r="D38" s="966" t="s">
        <v>271</v>
      </c>
      <c r="E38" s="966"/>
      <c r="F38" s="204">
        <v>0</v>
      </c>
      <c r="G38" s="204">
        <v>0</v>
      </c>
      <c r="H38" s="186">
        <v>0</v>
      </c>
      <c r="I38" s="204"/>
      <c r="J38" s="204">
        <v>1007500</v>
      </c>
      <c r="K38" s="204">
        <v>260000</v>
      </c>
      <c r="L38" s="144">
        <v>91499.98</v>
      </c>
      <c r="M38" s="204">
        <v>364000</v>
      </c>
      <c r="N38" s="204">
        <v>240000</v>
      </c>
      <c r="O38" s="204"/>
      <c r="P38" s="204"/>
      <c r="Q38" s="204">
        <v>2200000</v>
      </c>
      <c r="R38" s="204">
        <v>468000</v>
      </c>
      <c r="S38" s="204">
        <v>0</v>
      </c>
      <c r="T38" s="204">
        <v>0</v>
      </c>
      <c r="U38" s="204">
        <f t="shared" si="0"/>
        <v>4630999.9800000004</v>
      </c>
    </row>
    <row r="39" spans="3:21" x14ac:dyDescent="0.2">
      <c r="C39" s="516">
        <v>32</v>
      </c>
      <c r="D39" s="966" t="s">
        <v>272</v>
      </c>
      <c r="E39" s="966"/>
      <c r="F39" s="204">
        <v>0</v>
      </c>
      <c r="G39" s="204">
        <v>0</v>
      </c>
      <c r="H39" s="186">
        <v>0</v>
      </c>
      <c r="I39" s="204"/>
      <c r="J39" s="204">
        <v>503750</v>
      </c>
      <c r="K39" s="204">
        <v>260000</v>
      </c>
      <c r="L39" s="144">
        <v>91499.98</v>
      </c>
      <c r="M39" s="204">
        <v>364000</v>
      </c>
      <c r="N39" s="204">
        <v>240000</v>
      </c>
      <c r="O39" s="204"/>
      <c r="P39" s="204"/>
      <c r="Q39" s="204">
        <v>2200000</v>
      </c>
      <c r="R39" s="204">
        <v>468000</v>
      </c>
      <c r="S39" s="204">
        <v>0</v>
      </c>
      <c r="T39" s="204">
        <v>0</v>
      </c>
      <c r="U39" s="204">
        <f t="shared" si="0"/>
        <v>4127249.98</v>
      </c>
    </row>
    <row r="40" spans="3:21" x14ac:dyDescent="0.2">
      <c r="C40" s="516">
        <v>33</v>
      </c>
      <c r="D40" s="966" t="s">
        <v>273</v>
      </c>
      <c r="E40" s="966"/>
      <c r="F40" s="204">
        <v>0</v>
      </c>
      <c r="G40" s="204">
        <v>0</v>
      </c>
      <c r="H40" s="186">
        <v>0</v>
      </c>
      <c r="I40" s="204"/>
      <c r="J40" s="204">
        <v>1007500</v>
      </c>
      <c r="K40" s="204">
        <v>260000</v>
      </c>
      <c r="L40" s="144">
        <v>91499.98</v>
      </c>
      <c r="M40" s="204">
        <v>364000</v>
      </c>
      <c r="N40" s="204">
        <v>240000</v>
      </c>
      <c r="O40" s="204"/>
      <c r="P40" s="204"/>
      <c r="Q40" s="204">
        <v>2200000</v>
      </c>
      <c r="R40" s="204">
        <v>468000</v>
      </c>
      <c r="S40" s="204">
        <v>0</v>
      </c>
      <c r="T40" s="204">
        <v>0</v>
      </c>
      <c r="U40" s="204">
        <f t="shared" si="0"/>
        <v>4630999.9800000004</v>
      </c>
    </row>
    <row r="41" spans="3:21" x14ac:dyDescent="0.2">
      <c r="C41" s="516">
        <v>34</v>
      </c>
      <c r="D41" s="966" t="s">
        <v>274</v>
      </c>
      <c r="E41" s="966"/>
      <c r="F41" s="204">
        <v>0</v>
      </c>
      <c r="G41" s="204">
        <v>0</v>
      </c>
      <c r="H41" s="186">
        <v>0</v>
      </c>
      <c r="I41" s="204"/>
      <c r="J41" s="204">
        <v>503750</v>
      </c>
      <c r="K41" s="204">
        <v>260000</v>
      </c>
      <c r="L41" s="144">
        <v>91499.98</v>
      </c>
      <c r="M41" s="204">
        <v>364000</v>
      </c>
      <c r="N41" s="204">
        <v>240000</v>
      </c>
      <c r="O41" s="204"/>
      <c r="P41" s="204"/>
      <c r="Q41" s="204">
        <v>2200000</v>
      </c>
      <c r="R41" s="204">
        <v>468000</v>
      </c>
      <c r="S41" s="204">
        <v>0</v>
      </c>
      <c r="T41" s="204">
        <v>0</v>
      </c>
      <c r="U41" s="204">
        <f t="shared" si="0"/>
        <v>4127249.98</v>
      </c>
    </row>
    <row r="42" spans="3:21" x14ac:dyDescent="0.2">
      <c r="C42" s="516">
        <v>35</v>
      </c>
      <c r="D42" s="966" t="s">
        <v>275</v>
      </c>
      <c r="E42" s="966"/>
      <c r="F42" s="204">
        <v>0</v>
      </c>
      <c r="G42" s="204">
        <v>0</v>
      </c>
      <c r="H42" s="186">
        <v>0</v>
      </c>
      <c r="I42" s="204"/>
      <c r="J42" s="204">
        <v>1007500</v>
      </c>
      <c r="K42" s="204">
        <v>260000</v>
      </c>
      <c r="L42" s="144">
        <v>91499.98</v>
      </c>
      <c r="M42" s="204">
        <v>364000</v>
      </c>
      <c r="N42" s="204">
        <v>240000</v>
      </c>
      <c r="O42" s="204"/>
      <c r="P42" s="204"/>
      <c r="Q42" s="204">
        <v>2200000</v>
      </c>
      <c r="R42" s="204">
        <v>468000</v>
      </c>
      <c r="S42" s="204">
        <v>0</v>
      </c>
      <c r="T42" s="204">
        <v>0</v>
      </c>
      <c r="U42" s="204">
        <f t="shared" si="0"/>
        <v>4630999.9800000004</v>
      </c>
    </row>
    <row r="43" spans="3:21" x14ac:dyDescent="0.2">
      <c r="C43" s="516">
        <v>36</v>
      </c>
      <c r="D43" s="966" t="s">
        <v>276</v>
      </c>
      <c r="E43" s="966"/>
      <c r="F43" s="204">
        <v>280000</v>
      </c>
      <c r="G43" s="204">
        <v>1200000</v>
      </c>
      <c r="H43" s="186">
        <v>2448746</v>
      </c>
      <c r="I43" s="204">
        <v>1200000</v>
      </c>
      <c r="J43" s="204">
        <v>7556250</v>
      </c>
      <c r="K43" s="204">
        <v>1300000</v>
      </c>
      <c r="L43" s="144">
        <v>91499.98</v>
      </c>
      <c r="M43" s="204">
        <v>1092000</v>
      </c>
      <c r="N43" s="204">
        <v>720000</v>
      </c>
      <c r="O43" s="204">
        <v>2790000</v>
      </c>
      <c r="P43" s="204">
        <v>11169560</v>
      </c>
      <c r="Q43" s="204">
        <v>8800000</v>
      </c>
      <c r="R43" s="204">
        <v>1404000</v>
      </c>
      <c r="S43" s="204">
        <v>54390000</v>
      </c>
      <c r="T43" s="204">
        <v>0</v>
      </c>
      <c r="U43" s="204">
        <f t="shared" si="0"/>
        <v>94442055.980000004</v>
      </c>
    </row>
    <row r="44" spans="3:21" x14ac:dyDescent="0.2">
      <c r="C44" s="516">
        <v>37</v>
      </c>
      <c r="D44" s="966" t="s">
        <v>277</v>
      </c>
      <c r="E44" s="966"/>
      <c r="F44" s="204">
        <v>280000</v>
      </c>
      <c r="G44" s="204">
        <v>1200000</v>
      </c>
      <c r="H44" s="186">
        <v>2448746</v>
      </c>
      <c r="I44" s="204">
        <v>1200000</v>
      </c>
      <c r="J44" s="204">
        <v>7556250</v>
      </c>
      <c r="K44" s="204">
        <v>260000</v>
      </c>
      <c r="L44" s="144">
        <v>91499.98</v>
      </c>
      <c r="M44" s="204">
        <v>1092000</v>
      </c>
      <c r="N44" s="204">
        <v>720000</v>
      </c>
      <c r="O44" s="204">
        <v>2790000</v>
      </c>
      <c r="P44" s="204">
        <v>11169560</v>
      </c>
      <c r="Q44" s="204">
        <v>4400000</v>
      </c>
      <c r="R44" s="204">
        <v>1404000</v>
      </c>
      <c r="S44" s="204">
        <v>54390000</v>
      </c>
      <c r="T44" s="204">
        <v>0</v>
      </c>
      <c r="U44" s="204">
        <f t="shared" si="0"/>
        <v>89002055.980000004</v>
      </c>
    </row>
    <row r="45" spans="3:21" ht="14.1" customHeight="1" x14ac:dyDescent="0.2">
      <c r="C45" s="516">
        <v>38</v>
      </c>
      <c r="D45" s="966" t="s">
        <v>278</v>
      </c>
      <c r="E45" s="966"/>
      <c r="F45" s="204">
        <v>280000</v>
      </c>
      <c r="G45" s="204">
        <v>1200000</v>
      </c>
      <c r="H45" s="186">
        <v>2448746</v>
      </c>
      <c r="I45" s="204">
        <v>1200000</v>
      </c>
      <c r="J45" s="204">
        <v>7556250</v>
      </c>
      <c r="K45" s="204">
        <v>260000</v>
      </c>
      <c r="L45" s="144">
        <v>91499.98</v>
      </c>
      <c r="M45" s="204">
        <v>1092000</v>
      </c>
      <c r="N45" s="204">
        <v>720000</v>
      </c>
      <c r="O45" s="204">
        <v>2790000</v>
      </c>
      <c r="P45" s="204">
        <v>11169560</v>
      </c>
      <c r="Q45" s="204">
        <v>15400000</v>
      </c>
      <c r="R45" s="204">
        <v>1404000</v>
      </c>
      <c r="S45" s="204">
        <v>54390000</v>
      </c>
      <c r="T45" s="204">
        <v>0</v>
      </c>
      <c r="U45" s="204">
        <f t="shared" si="0"/>
        <v>100002055.98</v>
      </c>
    </row>
    <row r="46" spans="3:21" x14ac:dyDescent="0.2">
      <c r="C46" s="516">
        <v>39</v>
      </c>
      <c r="D46" s="966" t="s">
        <v>279</v>
      </c>
      <c r="E46" s="966"/>
      <c r="F46" s="204">
        <v>0</v>
      </c>
      <c r="G46" s="204">
        <v>0</v>
      </c>
      <c r="H46" s="186">
        <v>0</v>
      </c>
      <c r="I46" s="204"/>
      <c r="J46" s="204">
        <v>503750</v>
      </c>
      <c r="K46" s="204">
        <v>260000</v>
      </c>
      <c r="L46" s="144">
        <v>91499.98</v>
      </c>
      <c r="M46" s="204"/>
      <c r="N46" s="204">
        <v>240000</v>
      </c>
      <c r="O46" s="204"/>
      <c r="P46" s="204"/>
      <c r="Q46" s="204">
        <v>2200000</v>
      </c>
      <c r="R46" s="204"/>
      <c r="S46" s="204">
        <v>0</v>
      </c>
      <c r="T46" s="204">
        <v>0</v>
      </c>
      <c r="U46" s="204">
        <f t="shared" si="0"/>
        <v>3295249.98</v>
      </c>
    </row>
    <row r="47" spans="3:21" ht="14.1" customHeight="1" x14ac:dyDescent="0.2">
      <c r="C47" s="516">
        <v>40</v>
      </c>
      <c r="D47" s="966" t="s">
        <v>280</v>
      </c>
      <c r="E47" s="966"/>
      <c r="F47" s="204">
        <v>0</v>
      </c>
      <c r="G47" s="204">
        <v>0</v>
      </c>
      <c r="H47" s="186">
        <v>0</v>
      </c>
      <c r="I47" s="204"/>
      <c r="J47" s="204">
        <v>0</v>
      </c>
      <c r="K47" s="204">
        <v>0</v>
      </c>
      <c r="L47" s="144">
        <v>0</v>
      </c>
      <c r="M47" s="204"/>
      <c r="N47" s="204">
        <v>0</v>
      </c>
      <c r="O47" s="204"/>
      <c r="P47" s="204"/>
      <c r="Q47" s="204"/>
      <c r="R47" s="204">
        <v>0</v>
      </c>
      <c r="S47" s="204">
        <v>0</v>
      </c>
      <c r="T47" s="204">
        <v>0</v>
      </c>
      <c r="U47" s="204">
        <f t="shared" si="0"/>
        <v>0</v>
      </c>
    </row>
    <row r="48" spans="3:21" x14ac:dyDescent="0.2">
      <c r="C48" s="872" t="s">
        <v>297</v>
      </c>
      <c r="D48" s="872"/>
      <c r="E48" s="872"/>
      <c r="F48" s="196">
        <f>SUM(F8:F47)</f>
        <v>1680000</v>
      </c>
      <c r="G48" s="196">
        <f t="shared" ref="G48:T48" si="1">SUM(G8:G47)</f>
        <v>7200000</v>
      </c>
      <c r="H48" s="196">
        <f t="shared" si="1"/>
        <v>14692476</v>
      </c>
      <c r="I48" s="196">
        <f t="shared" si="1"/>
        <v>6600000</v>
      </c>
      <c r="J48" s="196">
        <f t="shared" si="1"/>
        <v>90675000</v>
      </c>
      <c r="K48" s="196">
        <f t="shared" si="1"/>
        <v>26000000</v>
      </c>
      <c r="L48" s="196">
        <f t="shared" si="1"/>
        <v>3568499.2199999997</v>
      </c>
      <c r="M48" s="196">
        <f t="shared" si="1"/>
        <v>15288000</v>
      </c>
      <c r="N48" s="196">
        <f t="shared" si="1"/>
        <v>12240000</v>
      </c>
      <c r="O48" s="196">
        <f t="shared" si="1"/>
        <v>13950000</v>
      </c>
      <c r="P48" s="196">
        <f t="shared" si="1"/>
        <v>67017360</v>
      </c>
      <c r="Q48" s="196">
        <f t="shared" si="1"/>
        <v>132000000</v>
      </c>
      <c r="R48" s="196">
        <f t="shared" ref="R48" si="2">SUM(R8:R47)</f>
        <v>19656000</v>
      </c>
      <c r="S48" s="196">
        <f t="shared" si="1"/>
        <v>326340000</v>
      </c>
      <c r="T48" s="196">
        <f t="shared" si="1"/>
        <v>91000000</v>
      </c>
      <c r="U48" s="196">
        <f>SUM(U8:U47)</f>
        <v>827907335.22000027</v>
      </c>
    </row>
    <row r="49" spans="3:21" x14ac:dyDescent="0.2">
      <c r="C49" s="867" t="s">
        <v>282</v>
      </c>
      <c r="D49" s="867"/>
      <c r="E49" s="867"/>
      <c r="F49" s="196">
        <f>F48*0.16</f>
        <v>268800</v>
      </c>
      <c r="G49" s="196">
        <f t="shared" ref="G49:U49" si="3">G48*0.16</f>
        <v>1152000</v>
      </c>
      <c r="H49" s="196">
        <f t="shared" si="3"/>
        <v>2350796.16</v>
      </c>
      <c r="I49" s="196">
        <f t="shared" si="3"/>
        <v>1056000</v>
      </c>
      <c r="J49" s="196">
        <f t="shared" si="3"/>
        <v>14508000</v>
      </c>
      <c r="K49" s="196">
        <f t="shared" si="3"/>
        <v>4160000</v>
      </c>
      <c r="L49" s="196">
        <f t="shared" si="3"/>
        <v>570959.87520000001</v>
      </c>
      <c r="M49" s="196">
        <f t="shared" si="3"/>
        <v>2446080</v>
      </c>
      <c r="N49" s="196">
        <f t="shared" si="3"/>
        <v>1958400</v>
      </c>
      <c r="O49" s="196">
        <f t="shared" si="3"/>
        <v>2232000</v>
      </c>
      <c r="P49" s="196">
        <f t="shared" si="3"/>
        <v>10722777.6</v>
      </c>
      <c r="Q49" s="196">
        <f t="shared" si="3"/>
        <v>21120000</v>
      </c>
      <c r="R49" s="196">
        <f t="shared" ref="R49" si="4">R48*0.16</f>
        <v>3144960</v>
      </c>
      <c r="S49" s="196">
        <f t="shared" si="3"/>
        <v>52214400</v>
      </c>
      <c r="T49" s="196">
        <f t="shared" si="3"/>
        <v>14560000</v>
      </c>
      <c r="U49" s="196">
        <f t="shared" si="3"/>
        <v>132465173.63520004</v>
      </c>
    </row>
    <row r="50" spans="3:21" x14ac:dyDescent="0.2">
      <c r="C50" s="867" t="s">
        <v>298</v>
      </c>
      <c r="D50" s="867"/>
      <c r="E50" s="867"/>
      <c r="F50" s="196">
        <f>SUM(F48:F49)</f>
        <v>1948800</v>
      </c>
      <c r="G50" s="196">
        <f t="shared" ref="G50:U50" si="5">SUM(G48:G49)</f>
        <v>8352000</v>
      </c>
      <c r="H50" s="196">
        <f t="shared" si="5"/>
        <v>17043272.16</v>
      </c>
      <c r="I50" s="196">
        <f t="shared" si="5"/>
        <v>7656000</v>
      </c>
      <c r="J50" s="196">
        <f t="shared" si="5"/>
        <v>105183000</v>
      </c>
      <c r="K50" s="196">
        <f t="shared" si="5"/>
        <v>30160000</v>
      </c>
      <c r="L50" s="196">
        <f t="shared" si="5"/>
        <v>4139459.0951999999</v>
      </c>
      <c r="M50" s="196">
        <f t="shared" si="5"/>
        <v>17734080</v>
      </c>
      <c r="N50" s="196">
        <f t="shared" si="5"/>
        <v>14198400</v>
      </c>
      <c r="O50" s="196">
        <f t="shared" si="5"/>
        <v>16182000</v>
      </c>
      <c r="P50" s="196">
        <f t="shared" si="5"/>
        <v>77740137.599999994</v>
      </c>
      <c r="Q50" s="196">
        <f t="shared" si="5"/>
        <v>153120000</v>
      </c>
      <c r="R50" s="196">
        <f t="shared" ref="R50" si="6">SUM(R48:R49)</f>
        <v>22800960</v>
      </c>
      <c r="S50" s="196">
        <f t="shared" si="5"/>
        <v>378554400</v>
      </c>
      <c r="T50" s="196">
        <f t="shared" si="5"/>
        <v>105560000</v>
      </c>
      <c r="U50" s="196">
        <f t="shared" si="5"/>
        <v>960372508.85520029</v>
      </c>
    </row>
    <row r="54" spans="3:21" x14ac:dyDescent="0.2">
      <c r="H54" s="598"/>
    </row>
    <row r="113" ht="15.75" customHeight="1" x14ac:dyDescent="0.2"/>
  </sheetData>
  <mergeCells count="63">
    <mergeCell ref="D18:E18"/>
    <mergeCell ref="D8:E8"/>
    <mergeCell ref="D9:E9"/>
    <mergeCell ref="D10:E10"/>
    <mergeCell ref="D11:E11"/>
    <mergeCell ref="D12:E12"/>
    <mergeCell ref="D15:E15"/>
    <mergeCell ref="D13:E13"/>
    <mergeCell ref="D14:E14"/>
    <mergeCell ref="C5:C7"/>
    <mergeCell ref="D5:E7"/>
    <mergeCell ref="F5:F7"/>
    <mergeCell ref="L5:L7"/>
    <mergeCell ref="M5:M7"/>
    <mergeCell ref="G5:G7"/>
    <mergeCell ref="H5:H7"/>
    <mergeCell ref="R5:R7"/>
    <mergeCell ref="I5:I7"/>
    <mergeCell ref="J5:J7"/>
    <mergeCell ref="K5:K7"/>
    <mergeCell ref="U5:U7"/>
    <mergeCell ref="N5:N7"/>
    <mergeCell ref="O5:O7"/>
    <mergeCell ref="P5:P7"/>
    <mergeCell ref="Q5:Q7"/>
    <mergeCell ref="S5:S7"/>
    <mergeCell ref="T5:T7"/>
    <mergeCell ref="C3:U3"/>
    <mergeCell ref="C4:U4"/>
    <mergeCell ref="D16:E16"/>
    <mergeCell ref="D17:E17"/>
    <mergeCell ref="D30:E30"/>
    <mergeCell ref="D19:E19"/>
    <mergeCell ref="D20:E20"/>
    <mergeCell ref="D21:E21"/>
    <mergeCell ref="D22:E22"/>
    <mergeCell ref="D23:E23"/>
    <mergeCell ref="D24:E24"/>
    <mergeCell ref="D25:E25"/>
    <mergeCell ref="D26:E26"/>
    <mergeCell ref="D27:E27"/>
    <mergeCell ref="D28:E28"/>
    <mergeCell ref="D29:E29"/>
    <mergeCell ref="D42:E42"/>
    <mergeCell ref="D31:E31"/>
    <mergeCell ref="D32:E32"/>
    <mergeCell ref="D33:E33"/>
    <mergeCell ref="D34:E34"/>
    <mergeCell ref="D35:E35"/>
    <mergeCell ref="D36:E36"/>
    <mergeCell ref="D37:E37"/>
    <mergeCell ref="D38:E38"/>
    <mergeCell ref="D39:E39"/>
    <mergeCell ref="D40:E40"/>
    <mergeCell ref="D41:E41"/>
    <mergeCell ref="C49:E49"/>
    <mergeCell ref="C50:E50"/>
    <mergeCell ref="D43:E43"/>
    <mergeCell ref="D44:E44"/>
    <mergeCell ref="D45:E45"/>
    <mergeCell ref="D46:E46"/>
    <mergeCell ref="D47:E47"/>
    <mergeCell ref="C48:E48"/>
  </mergeCells>
  <pageMargins left="0.7" right="0.7" top="0.75" bottom="0.75" header="0.3" footer="0.3"/>
  <pageSetup paperSize="5" scale="7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00B0F0"/>
  </sheetPr>
  <dimension ref="C3:U48"/>
  <sheetViews>
    <sheetView view="pageLayout" topLeftCell="D1" zoomScale="90" zoomScaleNormal="100" zoomScalePageLayoutView="90" workbookViewId="0">
      <selection activeCell="L4" sqref="L4:L5"/>
    </sheetView>
  </sheetViews>
  <sheetFormatPr baseColWidth="10" defaultRowHeight="12" x14ac:dyDescent="0.25"/>
  <cols>
    <col min="1" max="1" width="11.42578125" style="191"/>
    <col min="2" max="2" width="7.28515625" style="191" customWidth="1"/>
    <col min="3" max="3" width="3.42578125" style="191" bestFit="1" customWidth="1"/>
    <col min="4" max="4" width="20.140625" style="191" customWidth="1"/>
    <col min="5" max="5" width="10.140625" style="191" customWidth="1"/>
    <col min="6" max="6" width="9.42578125" style="191" customWidth="1"/>
    <col min="7" max="7" width="9.85546875" style="191" customWidth="1"/>
    <col min="8" max="8" width="8.7109375" style="191" customWidth="1"/>
    <col min="9" max="9" width="10" style="191" customWidth="1"/>
    <col min="10" max="12" width="10.28515625" style="191" customWidth="1"/>
    <col min="13" max="13" width="9.5703125" style="191" customWidth="1"/>
    <col min="14" max="14" width="10.140625" style="191" customWidth="1"/>
    <col min="15" max="15" width="9.7109375" style="191" customWidth="1"/>
    <col min="16" max="16" width="10.42578125" style="191" customWidth="1"/>
    <col min="17" max="17" width="9.7109375" style="191" customWidth="1"/>
    <col min="18" max="18" width="9.85546875" style="191" customWidth="1"/>
    <col min="19" max="20" width="9.7109375" style="191" customWidth="1"/>
    <col min="21" max="21" width="11.5703125" style="191" customWidth="1"/>
    <col min="22" max="16384" width="11.42578125" style="191"/>
  </cols>
  <sheetData>
    <row r="3" spans="3:21" x14ac:dyDescent="0.25">
      <c r="C3" s="867" t="s">
        <v>1403</v>
      </c>
      <c r="D3" s="867"/>
      <c r="E3" s="867"/>
      <c r="F3" s="867"/>
      <c r="G3" s="867"/>
      <c r="H3" s="867"/>
      <c r="I3" s="867"/>
      <c r="J3" s="867"/>
      <c r="K3" s="867"/>
      <c r="L3" s="867"/>
      <c r="M3" s="867"/>
      <c r="N3" s="867"/>
      <c r="O3" s="867"/>
      <c r="P3" s="867"/>
      <c r="Q3" s="867"/>
      <c r="R3" s="867"/>
      <c r="S3" s="867"/>
      <c r="T3" s="867"/>
      <c r="U3" s="867"/>
    </row>
    <row r="4" spans="3:21" s="601" customFormat="1" ht="12.75" customHeight="1" x14ac:dyDescent="0.25">
      <c r="C4" s="867" t="s">
        <v>472</v>
      </c>
      <c r="D4" s="872" t="s">
        <v>287</v>
      </c>
      <c r="E4" s="972" t="s">
        <v>486</v>
      </c>
      <c r="F4" s="972" t="s">
        <v>1444</v>
      </c>
      <c r="G4" s="972" t="s">
        <v>1600</v>
      </c>
      <c r="H4" s="972" t="s">
        <v>487</v>
      </c>
      <c r="I4" s="972" t="s">
        <v>1437</v>
      </c>
      <c r="J4" s="970" t="s">
        <v>488</v>
      </c>
      <c r="K4" s="971"/>
      <c r="L4" s="972" t="s">
        <v>489</v>
      </c>
      <c r="M4" s="972" t="s">
        <v>490</v>
      </c>
      <c r="N4" s="972" t="s">
        <v>491</v>
      </c>
      <c r="O4" s="972" t="s">
        <v>492</v>
      </c>
      <c r="P4" s="972" t="s">
        <v>493</v>
      </c>
      <c r="Q4" s="972" t="s">
        <v>494</v>
      </c>
      <c r="R4" s="972" t="s">
        <v>1558</v>
      </c>
      <c r="S4" s="972" t="s">
        <v>1498</v>
      </c>
      <c r="T4" s="972" t="s">
        <v>1500</v>
      </c>
      <c r="U4" s="872" t="s">
        <v>298</v>
      </c>
    </row>
    <row r="5" spans="3:21" ht="67.5" customHeight="1" x14ac:dyDescent="0.25">
      <c r="C5" s="867"/>
      <c r="D5" s="872"/>
      <c r="E5" s="972"/>
      <c r="F5" s="972"/>
      <c r="G5" s="972"/>
      <c r="H5" s="972"/>
      <c r="I5" s="972"/>
      <c r="J5" s="409" t="s">
        <v>1656</v>
      </c>
      <c r="K5" s="409" t="s">
        <v>1657</v>
      </c>
      <c r="L5" s="972"/>
      <c r="M5" s="972"/>
      <c r="N5" s="972"/>
      <c r="O5" s="972"/>
      <c r="P5" s="972"/>
      <c r="Q5" s="972"/>
      <c r="R5" s="972"/>
      <c r="S5" s="972"/>
      <c r="T5" s="972"/>
      <c r="U5" s="872"/>
    </row>
    <row r="6" spans="3:21" ht="14.1" customHeight="1" x14ac:dyDescent="0.25">
      <c r="C6" s="516">
        <v>1</v>
      </c>
      <c r="D6" s="147" t="s">
        <v>241</v>
      </c>
      <c r="E6" s="204">
        <v>0</v>
      </c>
      <c r="F6" s="204"/>
      <c r="G6" s="204">
        <v>0</v>
      </c>
      <c r="H6" s="204">
        <v>0</v>
      </c>
      <c r="I6" s="204">
        <v>0</v>
      </c>
      <c r="J6" s="204">
        <v>341250</v>
      </c>
      <c r="K6" s="204">
        <v>341250</v>
      </c>
      <c r="L6" s="204">
        <v>390000</v>
      </c>
      <c r="M6" s="186">
        <v>1250000</v>
      </c>
      <c r="N6" s="186">
        <v>0</v>
      </c>
      <c r="O6" s="204">
        <v>195000</v>
      </c>
      <c r="P6" s="186">
        <v>319800</v>
      </c>
      <c r="Q6" s="186"/>
      <c r="R6" s="186"/>
      <c r="S6" s="204">
        <v>1200618</v>
      </c>
      <c r="T6" s="204">
        <v>939801</v>
      </c>
      <c r="U6" s="204">
        <f>SUM(E6:T6)</f>
        <v>4977719</v>
      </c>
    </row>
    <row r="7" spans="3:21" ht="14.1" customHeight="1" x14ac:dyDescent="0.25">
      <c r="C7" s="516">
        <v>2</v>
      </c>
      <c r="D7" s="147" t="s">
        <v>242</v>
      </c>
      <c r="E7" s="204">
        <v>1396494.45</v>
      </c>
      <c r="F7" s="204">
        <v>2340000</v>
      </c>
      <c r="G7" s="204">
        <v>2300000</v>
      </c>
      <c r="H7" s="204">
        <v>812175</v>
      </c>
      <c r="I7" s="204">
        <v>7500000</v>
      </c>
      <c r="J7" s="204">
        <v>1365000</v>
      </c>
      <c r="K7" s="204">
        <v>1365000</v>
      </c>
      <c r="L7" s="204">
        <v>390000</v>
      </c>
      <c r="M7" s="186">
        <v>6250000</v>
      </c>
      <c r="N7" s="186">
        <v>11000000</v>
      </c>
      <c r="O7" s="204">
        <v>195000</v>
      </c>
      <c r="P7" s="186">
        <v>639600</v>
      </c>
      <c r="Q7" s="186">
        <v>28400000</v>
      </c>
      <c r="R7" s="186">
        <v>4200000</v>
      </c>
      <c r="S7" s="204">
        <v>2001030</v>
      </c>
      <c r="T7" s="204">
        <v>939801</v>
      </c>
      <c r="U7" s="204">
        <f t="shared" ref="U7:U48" si="0">SUM(E7:T7)</f>
        <v>71094100.450000003</v>
      </c>
    </row>
    <row r="8" spans="3:21" ht="14.1" customHeight="1" x14ac:dyDescent="0.25">
      <c r="C8" s="516">
        <v>3</v>
      </c>
      <c r="D8" s="147" t="s">
        <v>243</v>
      </c>
      <c r="E8" s="204">
        <v>0</v>
      </c>
      <c r="F8" s="204"/>
      <c r="G8" s="204">
        <v>0</v>
      </c>
      <c r="H8" s="204">
        <v>0</v>
      </c>
      <c r="I8" s="204">
        <v>0</v>
      </c>
      <c r="J8" s="204">
        <v>341250</v>
      </c>
      <c r="K8" s="204">
        <v>341250</v>
      </c>
      <c r="L8" s="204">
        <v>0</v>
      </c>
      <c r="M8" s="186">
        <v>1250000</v>
      </c>
      <c r="N8" s="186">
        <v>0</v>
      </c>
      <c r="O8" s="204">
        <v>195000</v>
      </c>
      <c r="P8" s="186">
        <v>319800</v>
      </c>
      <c r="Q8" s="186"/>
      <c r="R8" s="186"/>
      <c r="S8" s="204">
        <v>1200618</v>
      </c>
      <c r="T8" s="204">
        <v>939801</v>
      </c>
      <c r="U8" s="204">
        <f t="shared" si="0"/>
        <v>4587719</v>
      </c>
    </row>
    <row r="9" spans="3:21" ht="14.1" customHeight="1" x14ac:dyDescent="0.25">
      <c r="C9" s="516">
        <v>4</v>
      </c>
      <c r="D9" s="147" t="s">
        <v>244</v>
      </c>
      <c r="E9" s="204">
        <v>0</v>
      </c>
      <c r="F9" s="204"/>
      <c r="G9" s="204">
        <v>0</v>
      </c>
      <c r="H9" s="204">
        <v>0</v>
      </c>
      <c r="I9" s="204">
        <v>0</v>
      </c>
      <c r="J9" s="204">
        <v>341250</v>
      </c>
      <c r="K9" s="204">
        <v>341250</v>
      </c>
      <c r="L9" s="204">
        <v>0</v>
      </c>
      <c r="M9" s="186">
        <v>1250000</v>
      </c>
      <c r="N9" s="186">
        <v>0</v>
      </c>
      <c r="O9" s="204">
        <v>195000</v>
      </c>
      <c r="P9" s="186">
        <v>159900</v>
      </c>
      <c r="Q9" s="186"/>
      <c r="R9" s="186"/>
      <c r="S9" s="204">
        <v>1200618</v>
      </c>
      <c r="T9" s="204">
        <v>939801</v>
      </c>
      <c r="U9" s="204">
        <f t="shared" si="0"/>
        <v>4427819</v>
      </c>
    </row>
    <row r="10" spans="3:21" ht="14.1" customHeight="1" x14ac:dyDescent="0.25">
      <c r="C10" s="516">
        <v>5</v>
      </c>
      <c r="D10" s="147" t="s">
        <v>245</v>
      </c>
      <c r="E10" s="204">
        <v>0</v>
      </c>
      <c r="F10" s="204"/>
      <c r="G10" s="204">
        <v>0</v>
      </c>
      <c r="H10" s="204">
        <v>0</v>
      </c>
      <c r="I10" s="204">
        <v>0</v>
      </c>
      <c r="J10" s="204">
        <v>341250</v>
      </c>
      <c r="K10" s="204">
        <v>341250</v>
      </c>
      <c r="L10" s="204">
        <v>0</v>
      </c>
      <c r="M10" s="186">
        <v>1250000</v>
      </c>
      <c r="N10" s="186">
        <v>0</v>
      </c>
      <c r="O10" s="204">
        <v>195000</v>
      </c>
      <c r="P10" s="186">
        <v>159900</v>
      </c>
      <c r="Q10" s="186"/>
      <c r="R10" s="186"/>
      <c r="S10" s="204">
        <v>1200618</v>
      </c>
      <c r="T10" s="204">
        <v>939801</v>
      </c>
      <c r="U10" s="204">
        <f t="shared" si="0"/>
        <v>4427819</v>
      </c>
    </row>
    <row r="11" spans="3:21" ht="14.1" customHeight="1" x14ac:dyDescent="0.25">
      <c r="C11" s="516">
        <v>6</v>
      </c>
      <c r="D11" s="147" t="s">
        <v>246</v>
      </c>
      <c r="E11" s="204">
        <v>0</v>
      </c>
      <c r="F11" s="204"/>
      <c r="G11" s="204">
        <v>0</v>
      </c>
      <c r="H11" s="204">
        <v>0</v>
      </c>
      <c r="I11" s="204">
        <v>0</v>
      </c>
      <c r="J11" s="204">
        <v>341250</v>
      </c>
      <c r="K11" s="204">
        <v>341250</v>
      </c>
      <c r="L11" s="204">
        <v>390000</v>
      </c>
      <c r="M11" s="186">
        <v>1250000</v>
      </c>
      <c r="N11" s="186">
        <v>0</v>
      </c>
      <c r="O11" s="204">
        <v>195000</v>
      </c>
      <c r="P11" s="186">
        <v>319800</v>
      </c>
      <c r="Q11" s="186"/>
      <c r="R11" s="186"/>
      <c r="S11" s="204">
        <v>1200618</v>
      </c>
      <c r="T11" s="204">
        <v>939801</v>
      </c>
      <c r="U11" s="204">
        <f t="shared" si="0"/>
        <v>4977719</v>
      </c>
    </row>
    <row r="12" spans="3:21" ht="14.1" customHeight="1" x14ac:dyDescent="0.25">
      <c r="C12" s="516">
        <v>7</v>
      </c>
      <c r="D12" s="147" t="s">
        <v>247</v>
      </c>
      <c r="E12" s="204">
        <v>0</v>
      </c>
      <c r="F12" s="204"/>
      <c r="G12" s="204">
        <v>0</v>
      </c>
      <c r="H12" s="204">
        <v>0</v>
      </c>
      <c r="I12" s="204">
        <v>0</v>
      </c>
      <c r="J12" s="204">
        <v>341250</v>
      </c>
      <c r="K12" s="204">
        <v>341250</v>
      </c>
      <c r="L12" s="204">
        <v>390000</v>
      </c>
      <c r="M12" s="186">
        <v>1250000</v>
      </c>
      <c r="N12" s="186">
        <v>0</v>
      </c>
      <c r="O12" s="204">
        <v>195000</v>
      </c>
      <c r="P12" s="186">
        <v>159900</v>
      </c>
      <c r="Q12" s="186"/>
      <c r="R12" s="186"/>
      <c r="S12" s="204">
        <v>1200618</v>
      </c>
      <c r="T12" s="204">
        <v>939801</v>
      </c>
      <c r="U12" s="204">
        <f t="shared" si="0"/>
        <v>4817819</v>
      </c>
    </row>
    <row r="13" spans="3:21" ht="14.1" customHeight="1" x14ac:dyDescent="0.25">
      <c r="C13" s="516">
        <v>8</v>
      </c>
      <c r="D13" s="147" t="s">
        <v>248</v>
      </c>
      <c r="E13" s="204">
        <v>0</v>
      </c>
      <c r="F13" s="204"/>
      <c r="G13" s="204">
        <v>0</v>
      </c>
      <c r="H13" s="204">
        <v>0</v>
      </c>
      <c r="I13" s="204">
        <v>0</v>
      </c>
      <c r="J13" s="204">
        <v>341250</v>
      </c>
      <c r="K13" s="204">
        <v>341250</v>
      </c>
      <c r="L13" s="204">
        <v>0</v>
      </c>
      <c r="M13" s="186">
        <v>1250000</v>
      </c>
      <c r="N13" s="186">
        <v>0</v>
      </c>
      <c r="O13" s="204">
        <v>195000</v>
      </c>
      <c r="P13" s="186">
        <v>159900</v>
      </c>
      <c r="Q13" s="186"/>
      <c r="R13" s="186"/>
      <c r="S13" s="204">
        <v>1200618</v>
      </c>
      <c r="T13" s="204">
        <v>939801</v>
      </c>
      <c r="U13" s="204">
        <f t="shared" si="0"/>
        <v>4427819</v>
      </c>
    </row>
    <row r="14" spans="3:21" ht="14.1" customHeight="1" x14ac:dyDescent="0.25">
      <c r="C14" s="516">
        <v>9</v>
      </c>
      <c r="D14" s="147" t="s">
        <v>249</v>
      </c>
      <c r="E14" s="204">
        <v>0</v>
      </c>
      <c r="F14" s="204"/>
      <c r="G14" s="204">
        <v>0</v>
      </c>
      <c r="H14" s="204">
        <v>0</v>
      </c>
      <c r="I14" s="204">
        <v>0</v>
      </c>
      <c r="J14" s="204">
        <v>341250</v>
      </c>
      <c r="K14" s="204">
        <v>341250</v>
      </c>
      <c r="L14" s="204">
        <v>0</v>
      </c>
      <c r="M14" s="186">
        <v>1250000</v>
      </c>
      <c r="N14" s="186">
        <v>0</v>
      </c>
      <c r="O14" s="204">
        <v>0</v>
      </c>
      <c r="P14" s="186">
        <v>159900</v>
      </c>
      <c r="Q14" s="186"/>
      <c r="R14" s="186"/>
      <c r="S14" s="204">
        <v>1200618</v>
      </c>
      <c r="T14" s="204">
        <v>939801</v>
      </c>
      <c r="U14" s="204">
        <f t="shared" si="0"/>
        <v>4232819</v>
      </c>
    </row>
    <row r="15" spans="3:21" ht="14.1" customHeight="1" x14ac:dyDescent="0.25">
      <c r="C15" s="516">
        <v>10</v>
      </c>
      <c r="D15" s="147" t="s">
        <v>250</v>
      </c>
      <c r="E15" s="204">
        <v>0</v>
      </c>
      <c r="F15" s="204"/>
      <c r="G15" s="204">
        <v>0</v>
      </c>
      <c r="H15" s="204">
        <v>0</v>
      </c>
      <c r="I15" s="204">
        <v>0</v>
      </c>
      <c r="J15" s="204">
        <v>341250</v>
      </c>
      <c r="K15" s="204">
        <v>341250</v>
      </c>
      <c r="L15" s="204">
        <v>0</v>
      </c>
      <c r="M15" s="186">
        <v>1250000</v>
      </c>
      <c r="N15" s="186">
        <v>0</v>
      </c>
      <c r="O15" s="204">
        <v>195000</v>
      </c>
      <c r="P15" s="186">
        <v>319800</v>
      </c>
      <c r="Q15" s="186"/>
      <c r="R15" s="186"/>
      <c r="S15" s="204">
        <v>1200618</v>
      </c>
      <c r="T15" s="204">
        <v>939801</v>
      </c>
      <c r="U15" s="204">
        <f t="shared" si="0"/>
        <v>4587719</v>
      </c>
    </row>
    <row r="16" spans="3:21" ht="14.1" customHeight="1" x14ac:dyDescent="0.25">
      <c r="C16" s="516">
        <v>11</v>
      </c>
      <c r="D16" s="147" t="s">
        <v>251</v>
      </c>
      <c r="E16" s="204">
        <v>0</v>
      </c>
      <c r="F16" s="204"/>
      <c r="G16" s="204">
        <v>0</v>
      </c>
      <c r="H16" s="204">
        <v>0</v>
      </c>
      <c r="I16" s="204">
        <v>0</v>
      </c>
      <c r="J16" s="204">
        <v>341250</v>
      </c>
      <c r="K16" s="204">
        <v>341250</v>
      </c>
      <c r="L16" s="204">
        <v>390000</v>
      </c>
      <c r="M16" s="186">
        <v>1250000</v>
      </c>
      <c r="N16" s="186">
        <v>0</v>
      </c>
      <c r="O16" s="204">
        <v>195000</v>
      </c>
      <c r="P16" s="186">
        <v>319800</v>
      </c>
      <c r="Q16" s="186"/>
      <c r="R16" s="186"/>
      <c r="S16" s="204">
        <v>1200618</v>
      </c>
      <c r="T16" s="204">
        <v>939801</v>
      </c>
      <c r="U16" s="204">
        <f t="shared" si="0"/>
        <v>4977719</v>
      </c>
    </row>
    <row r="17" spans="3:21" ht="14.1" customHeight="1" x14ac:dyDescent="0.25">
      <c r="C17" s="516">
        <v>12</v>
      </c>
      <c r="D17" s="147" t="s">
        <v>252</v>
      </c>
      <c r="E17" s="204">
        <v>0</v>
      </c>
      <c r="F17" s="204"/>
      <c r="G17" s="204">
        <v>0</v>
      </c>
      <c r="H17" s="204">
        <v>0</v>
      </c>
      <c r="I17" s="204">
        <v>0</v>
      </c>
      <c r="J17" s="204">
        <v>341250</v>
      </c>
      <c r="K17" s="204">
        <v>341250</v>
      </c>
      <c r="L17" s="204">
        <v>390000</v>
      </c>
      <c r="M17" s="186">
        <v>1250000</v>
      </c>
      <c r="N17" s="186">
        <v>0</v>
      </c>
      <c r="O17" s="204">
        <v>195000</v>
      </c>
      <c r="P17" s="186">
        <v>319800</v>
      </c>
      <c r="Q17" s="186"/>
      <c r="R17" s="186"/>
      <c r="S17" s="204">
        <v>1200618</v>
      </c>
      <c r="T17" s="204">
        <v>939801</v>
      </c>
      <c r="U17" s="204">
        <f t="shared" si="0"/>
        <v>4977719</v>
      </c>
    </row>
    <row r="18" spans="3:21" ht="14.1" customHeight="1" x14ac:dyDescent="0.25">
      <c r="C18" s="516">
        <v>13</v>
      </c>
      <c r="D18" s="147" t="s">
        <v>253</v>
      </c>
      <c r="E18" s="204">
        <v>0</v>
      </c>
      <c r="F18" s="204"/>
      <c r="G18" s="204">
        <v>0</v>
      </c>
      <c r="H18" s="204">
        <v>0</v>
      </c>
      <c r="I18" s="204">
        <v>0</v>
      </c>
      <c r="J18" s="204">
        <v>341250</v>
      </c>
      <c r="K18" s="204">
        <v>341250</v>
      </c>
      <c r="L18" s="204">
        <v>0</v>
      </c>
      <c r="M18" s="186">
        <v>1250000</v>
      </c>
      <c r="N18" s="186">
        <v>0</v>
      </c>
      <c r="O18" s="204">
        <v>195000</v>
      </c>
      <c r="P18" s="186">
        <v>159900</v>
      </c>
      <c r="Q18" s="186"/>
      <c r="R18" s="186"/>
      <c r="S18" s="204">
        <v>1200618</v>
      </c>
      <c r="T18" s="204">
        <v>939801</v>
      </c>
      <c r="U18" s="204">
        <f t="shared" si="0"/>
        <v>4427819</v>
      </c>
    </row>
    <row r="19" spans="3:21" ht="14.1" customHeight="1" x14ac:dyDescent="0.25">
      <c r="C19" s="516">
        <v>14</v>
      </c>
      <c r="D19" s="147" t="s">
        <v>254</v>
      </c>
      <c r="E19" s="204">
        <v>0</v>
      </c>
      <c r="F19" s="204"/>
      <c r="G19" s="204">
        <v>0</v>
      </c>
      <c r="H19" s="204">
        <v>0</v>
      </c>
      <c r="I19" s="204">
        <v>0</v>
      </c>
      <c r="J19" s="204">
        <v>341250</v>
      </c>
      <c r="K19" s="204">
        <v>341250</v>
      </c>
      <c r="L19" s="204">
        <v>0</v>
      </c>
      <c r="M19" s="186">
        <v>1250000</v>
      </c>
      <c r="N19" s="186">
        <v>0</v>
      </c>
      <c r="O19" s="204">
        <v>195000</v>
      </c>
      <c r="P19" s="186">
        <v>159900</v>
      </c>
      <c r="Q19" s="186"/>
      <c r="R19" s="186"/>
      <c r="S19" s="204">
        <v>1200618</v>
      </c>
      <c r="T19" s="204">
        <v>939801</v>
      </c>
      <c r="U19" s="204">
        <f t="shared" si="0"/>
        <v>4427819</v>
      </c>
    </row>
    <row r="20" spans="3:21" ht="14.1" customHeight="1" x14ac:dyDescent="0.25">
      <c r="C20" s="516">
        <v>15</v>
      </c>
      <c r="D20" s="147" t="s">
        <v>255</v>
      </c>
      <c r="E20" s="204">
        <v>0</v>
      </c>
      <c r="F20" s="204"/>
      <c r="G20" s="204">
        <v>0</v>
      </c>
      <c r="H20" s="204">
        <v>0</v>
      </c>
      <c r="I20" s="204">
        <v>0</v>
      </c>
      <c r="J20" s="204">
        <v>341250</v>
      </c>
      <c r="K20" s="204">
        <v>341250</v>
      </c>
      <c r="L20" s="204">
        <v>390000</v>
      </c>
      <c r="M20" s="186">
        <v>1250000</v>
      </c>
      <c r="N20" s="186">
        <v>0</v>
      </c>
      <c r="O20" s="204">
        <v>195000</v>
      </c>
      <c r="P20" s="186">
        <v>159900</v>
      </c>
      <c r="Q20" s="186"/>
      <c r="R20" s="186"/>
      <c r="S20" s="204">
        <v>1200618</v>
      </c>
      <c r="T20" s="204">
        <v>939801</v>
      </c>
      <c r="U20" s="204">
        <f t="shared" si="0"/>
        <v>4817819</v>
      </c>
    </row>
    <row r="21" spans="3:21" ht="14.1" customHeight="1" x14ac:dyDescent="0.25">
      <c r="C21" s="516">
        <v>16</v>
      </c>
      <c r="D21" s="147" t="s">
        <v>256</v>
      </c>
      <c r="E21" s="204">
        <v>0</v>
      </c>
      <c r="F21" s="204"/>
      <c r="G21" s="204">
        <v>0</v>
      </c>
      <c r="H21" s="204">
        <v>0</v>
      </c>
      <c r="I21" s="204">
        <v>0</v>
      </c>
      <c r="J21" s="204">
        <v>341250</v>
      </c>
      <c r="K21" s="204">
        <v>341250</v>
      </c>
      <c r="L21" s="204">
        <v>390000</v>
      </c>
      <c r="M21" s="186">
        <v>1250000</v>
      </c>
      <c r="N21" s="186">
        <v>0</v>
      </c>
      <c r="O21" s="204">
        <v>195000</v>
      </c>
      <c r="P21" s="186">
        <v>159900</v>
      </c>
      <c r="Q21" s="186"/>
      <c r="R21" s="186"/>
      <c r="S21" s="204">
        <v>1200618</v>
      </c>
      <c r="T21" s="204">
        <v>939801</v>
      </c>
      <c r="U21" s="204">
        <f t="shared" si="0"/>
        <v>4817819</v>
      </c>
    </row>
    <row r="22" spans="3:21" ht="14.1" customHeight="1" x14ac:dyDescent="0.25">
      <c r="C22" s="516">
        <v>17</v>
      </c>
      <c r="D22" s="147" t="s">
        <v>257</v>
      </c>
      <c r="E22" s="204">
        <v>0</v>
      </c>
      <c r="F22" s="204"/>
      <c r="G22" s="204">
        <v>0</v>
      </c>
      <c r="H22" s="204">
        <v>0</v>
      </c>
      <c r="I22" s="204">
        <v>0</v>
      </c>
      <c r="J22" s="204">
        <v>341250</v>
      </c>
      <c r="K22" s="204">
        <v>341250</v>
      </c>
      <c r="L22" s="204">
        <v>0</v>
      </c>
      <c r="M22" s="186">
        <v>1250000</v>
      </c>
      <c r="N22" s="186">
        <v>0</v>
      </c>
      <c r="O22" s="204">
        <v>195000</v>
      </c>
      <c r="P22" s="186">
        <v>159900</v>
      </c>
      <c r="Q22" s="186"/>
      <c r="R22" s="186"/>
      <c r="S22" s="204">
        <v>1200618</v>
      </c>
      <c r="T22" s="204">
        <v>939801</v>
      </c>
      <c r="U22" s="204">
        <f t="shared" si="0"/>
        <v>4427819</v>
      </c>
    </row>
    <row r="23" spans="3:21" ht="14.1" customHeight="1" x14ac:dyDescent="0.25">
      <c r="C23" s="516">
        <v>18</v>
      </c>
      <c r="D23" s="147" t="s">
        <v>258</v>
      </c>
      <c r="E23" s="204">
        <v>0</v>
      </c>
      <c r="F23" s="204"/>
      <c r="G23" s="204">
        <v>0</v>
      </c>
      <c r="H23" s="204">
        <v>0</v>
      </c>
      <c r="I23" s="204">
        <v>0</v>
      </c>
      <c r="J23" s="204">
        <v>341250</v>
      </c>
      <c r="K23" s="204">
        <v>341250</v>
      </c>
      <c r="L23" s="204">
        <v>390000</v>
      </c>
      <c r="M23" s="186">
        <v>1250000</v>
      </c>
      <c r="N23" s="186">
        <v>0</v>
      </c>
      <c r="O23" s="204">
        <v>195000</v>
      </c>
      <c r="P23" s="186">
        <v>159900</v>
      </c>
      <c r="Q23" s="186"/>
      <c r="R23" s="186"/>
      <c r="S23" s="204">
        <v>1200618</v>
      </c>
      <c r="T23" s="204">
        <v>939801</v>
      </c>
      <c r="U23" s="204">
        <f t="shared" si="0"/>
        <v>4817819</v>
      </c>
    </row>
    <row r="24" spans="3:21" ht="14.1" customHeight="1" x14ac:dyDescent="0.25">
      <c r="C24" s="516">
        <v>19</v>
      </c>
      <c r="D24" s="147" t="s">
        <v>259</v>
      </c>
      <c r="E24" s="204">
        <v>1396494.45</v>
      </c>
      <c r="F24" s="204">
        <v>2340000</v>
      </c>
      <c r="G24" s="204">
        <v>2300000</v>
      </c>
      <c r="H24" s="204">
        <v>812175</v>
      </c>
      <c r="I24" s="204">
        <v>7500000</v>
      </c>
      <c r="J24" s="204">
        <v>682500</v>
      </c>
      <c r="K24" s="204">
        <v>682500</v>
      </c>
      <c r="L24" s="204">
        <v>390000</v>
      </c>
      <c r="M24" s="186">
        <v>3750000</v>
      </c>
      <c r="N24" s="186">
        <v>8250000</v>
      </c>
      <c r="O24" s="204">
        <v>195000</v>
      </c>
      <c r="P24" s="186">
        <v>639600</v>
      </c>
      <c r="Q24" s="186"/>
      <c r="R24" s="186">
        <v>4200000</v>
      </c>
      <c r="S24" s="204">
        <v>2001030</v>
      </c>
      <c r="T24" s="204">
        <v>939801</v>
      </c>
      <c r="U24" s="204">
        <f t="shared" si="0"/>
        <v>36079100.450000003</v>
      </c>
    </row>
    <row r="25" spans="3:21" ht="14.1" customHeight="1" x14ac:dyDescent="0.25">
      <c r="C25" s="516">
        <v>20</v>
      </c>
      <c r="D25" s="147" t="s">
        <v>260</v>
      </c>
      <c r="E25" s="204">
        <v>0</v>
      </c>
      <c r="F25" s="204"/>
      <c r="G25" s="204">
        <v>0</v>
      </c>
      <c r="H25" s="204">
        <v>0</v>
      </c>
      <c r="I25" s="204">
        <v>0</v>
      </c>
      <c r="J25" s="204">
        <v>341250</v>
      </c>
      <c r="K25" s="204">
        <v>341250</v>
      </c>
      <c r="L25" s="204">
        <v>0</v>
      </c>
      <c r="M25" s="186">
        <v>1250000</v>
      </c>
      <c r="N25" s="186">
        <v>0</v>
      </c>
      <c r="O25" s="204">
        <v>195000</v>
      </c>
      <c r="P25" s="186">
        <v>159900</v>
      </c>
      <c r="Q25" s="186"/>
      <c r="R25" s="186"/>
      <c r="S25" s="204">
        <v>1200618</v>
      </c>
      <c r="T25" s="204">
        <v>939801</v>
      </c>
      <c r="U25" s="204">
        <f t="shared" si="0"/>
        <v>4427819</v>
      </c>
    </row>
    <row r="26" spans="3:21" ht="14.1" customHeight="1" x14ac:dyDescent="0.25">
      <c r="C26" s="516">
        <v>21</v>
      </c>
      <c r="D26" s="147" t="s">
        <v>261</v>
      </c>
      <c r="E26" s="204">
        <v>0</v>
      </c>
      <c r="F26" s="204"/>
      <c r="G26" s="204">
        <v>0</v>
      </c>
      <c r="H26" s="204">
        <v>0</v>
      </c>
      <c r="I26" s="204">
        <v>0</v>
      </c>
      <c r="J26" s="204">
        <v>341250</v>
      </c>
      <c r="K26" s="204">
        <v>341250</v>
      </c>
      <c r="L26" s="204">
        <v>390000</v>
      </c>
      <c r="M26" s="186">
        <v>1250000</v>
      </c>
      <c r="N26" s="186">
        <v>0</v>
      </c>
      <c r="O26" s="204">
        <v>195000</v>
      </c>
      <c r="P26" s="186">
        <v>319800</v>
      </c>
      <c r="Q26" s="186"/>
      <c r="R26" s="186"/>
      <c r="S26" s="204">
        <v>1200618</v>
      </c>
      <c r="T26" s="204">
        <v>939801</v>
      </c>
      <c r="U26" s="204">
        <f t="shared" si="0"/>
        <v>4977719</v>
      </c>
    </row>
    <row r="27" spans="3:21" ht="14.1" customHeight="1" x14ac:dyDescent="0.25">
      <c r="C27" s="516">
        <v>22</v>
      </c>
      <c r="D27" s="147" t="s">
        <v>262</v>
      </c>
      <c r="E27" s="204">
        <v>0</v>
      </c>
      <c r="F27" s="204"/>
      <c r="G27" s="204">
        <v>0</v>
      </c>
      <c r="H27" s="204">
        <v>0</v>
      </c>
      <c r="I27" s="204">
        <v>0</v>
      </c>
      <c r="J27" s="204">
        <v>341250</v>
      </c>
      <c r="K27" s="204">
        <v>341250</v>
      </c>
      <c r="L27" s="204">
        <v>390000</v>
      </c>
      <c r="M27" s="186">
        <v>1250000</v>
      </c>
      <c r="N27" s="186">
        <v>0</v>
      </c>
      <c r="O27" s="204">
        <v>195000</v>
      </c>
      <c r="P27" s="186">
        <v>159900</v>
      </c>
      <c r="Q27" s="186"/>
      <c r="R27" s="186"/>
      <c r="S27" s="204">
        <v>1200618</v>
      </c>
      <c r="T27" s="204">
        <v>939801</v>
      </c>
      <c r="U27" s="204">
        <f t="shared" si="0"/>
        <v>4817819</v>
      </c>
    </row>
    <row r="28" spans="3:21" ht="14.1" customHeight="1" x14ac:dyDescent="0.25">
      <c r="C28" s="516">
        <v>23</v>
      </c>
      <c r="D28" s="147" t="s">
        <v>263</v>
      </c>
      <c r="E28" s="204">
        <v>0</v>
      </c>
      <c r="F28" s="204"/>
      <c r="G28" s="204">
        <v>0</v>
      </c>
      <c r="H28" s="204">
        <v>0</v>
      </c>
      <c r="I28" s="204">
        <v>0</v>
      </c>
      <c r="J28" s="204">
        <v>341250</v>
      </c>
      <c r="K28" s="204">
        <v>341250</v>
      </c>
      <c r="L28" s="204">
        <v>0</v>
      </c>
      <c r="M28" s="186">
        <v>1250000</v>
      </c>
      <c r="N28" s="186">
        <v>0</v>
      </c>
      <c r="O28" s="204">
        <v>195000</v>
      </c>
      <c r="P28" s="186">
        <v>159900</v>
      </c>
      <c r="Q28" s="186"/>
      <c r="R28" s="186"/>
      <c r="S28" s="204">
        <v>1200618</v>
      </c>
      <c r="T28" s="204">
        <v>939801</v>
      </c>
      <c r="U28" s="204">
        <f t="shared" si="0"/>
        <v>4427819</v>
      </c>
    </row>
    <row r="29" spans="3:21" ht="14.1" customHeight="1" x14ac:dyDescent="0.25">
      <c r="C29" s="516">
        <v>24</v>
      </c>
      <c r="D29" s="147" t="s">
        <v>264</v>
      </c>
      <c r="E29" s="204">
        <v>0</v>
      </c>
      <c r="F29" s="204"/>
      <c r="G29" s="204">
        <v>0</v>
      </c>
      <c r="H29" s="204">
        <v>0</v>
      </c>
      <c r="I29" s="204">
        <v>0</v>
      </c>
      <c r="J29" s="204">
        <v>341250</v>
      </c>
      <c r="K29" s="204">
        <v>341250</v>
      </c>
      <c r="L29" s="204">
        <v>390000</v>
      </c>
      <c r="M29" s="186">
        <v>1250000</v>
      </c>
      <c r="N29" s="186">
        <v>0</v>
      </c>
      <c r="O29" s="204">
        <v>195000</v>
      </c>
      <c r="P29" s="186">
        <v>159900</v>
      </c>
      <c r="Q29" s="186"/>
      <c r="R29" s="186"/>
      <c r="S29" s="204">
        <v>1200618</v>
      </c>
      <c r="T29" s="204">
        <v>939801</v>
      </c>
      <c r="U29" s="204">
        <f t="shared" si="0"/>
        <v>4817819</v>
      </c>
    </row>
    <row r="30" spans="3:21" ht="14.1" customHeight="1" x14ac:dyDescent="0.25">
      <c r="C30" s="516">
        <v>25</v>
      </c>
      <c r="D30" s="147" t="s">
        <v>265</v>
      </c>
      <c r="E30" s="204">
        <v>1396494.45</v>
      </c>
      <c r="F30" s="204">
        <v>2340000</v>
      </c>
      <c r="G30" s="204">
        <v>2300000</v>
      </c>
      <c r="H30" s="204">
        <v>812175</v>
      </c>
      <c r="I30" s="204">
        <v>7500000</v>
      </c>
      <c r="J30" s="204">
        <v>682500</v>
      </c>
      <c r="K30" s="204">
        <v>682500</v>
      </c>
      <c r="L30" s="204">
        <v>0</v>
      </c>
      <c r="M30" s="186">
        <v>3750000</v>
      </c>
      <c r="N30" s="186">
        <v>8250000</v>
      </c>
      <c r="O30" s="204">
        <v>0</v>
      </c>
      <c r="P30" s="186">
        <v>639600</v>
      </c>
      <c r="Q30" s="186">
        <v>28400000</v>
      </c>
      <c r="R30" s="186">
        <v>4200000</v>
      </c>
      <c r="S30" s="204">
        <v>2001030</v>
      </c>
      <c r="T30" s="204">
        <v>939801</v>
      </c>
      <c r="U30" s="204">
        <f t="shared" si="0"/>
        <v>63894100.450000003</v>
      </c>
    </row>
    <row r="31" spans="3:21" ht="14.1" customHeight="1" x14ac:dyDescent="0.25">
      <c r="C31" s="516">
        <v>26</v>
      </c>
      <c r="D31" s="147" t="s">
        <v>266</v>
      </c>
      <c r="E31" s="204">
        <v>0</v>
      </c>
      <c r="F31" s="204"/>
      <c r="G31" s="204">
        <v>0</v>
      </c>
      <c r="H31" s="204">
        <v>0</v>
      </c>
      <c r="I31" s="204">
        <v>0</v>
      </c>
      <c r="J31" s="204">
        <v>341250</v>
      </c>
      <c r="K31" s="204">
        <v>341250</v>
      </c>
      <c r="L31" s="204">
        <v>390000</v>
      </c>
      <c r="M31" s="186">
        <v>1250000</v>
      </c>
      <c r="N31" s="186">
        <v>0</v>
      </c>
      <c r="O31" s="204">
        <v>195000</v>
      </c>
      <c r="P31" s="186">
        <v>159900</v>
      </c>
      <c r="Q31" s="186"/>
      <c r="R31" s="186"/>
      <c r="S31" s="204">
        <v>1200618</v>
      </c>
      <c r="T31" s="204">
        <v>939801</v>
      </c>
      <c r="U31" s="204">
        <f t="shared" si="0"/>
        <v>4817819</v>
      </c>
    </row>
    <row r="32" spans="3:21" ht="14.1" customHeight="1" x14ac:dyDescent="0.25">
      <c r="C32" s="516">
        <v>27</v>
      </c>
      <c r="D32" s="147" t="s">
        <v>267</v>
      </c>
      <c r="E32" s="204">
        <v>0</v>
      </c>
      <c r="F32" s="204"/>
      <c r="G32" s="204">
        <v>0</v>
      </c>
      <c r="H32" s="204">
        <v>0</v>
      </c>
      <c r="I32" s="204">
        <v>0</v>
      </c>
      <c r="J32" s="204">
        <v>341250</v>
      </c>
      <c r="K32" s="204">
        <v>341250</v>
      </c>
      <c r="L32" s="204">
        <v>390000</v>
      </c>
      <c r="M32" s="186">
        <v>1250000</v>
      </c>
      <c r="N32" s="186">
        <v>0</v>
      </c>
      <c r="O32" s="204">
        <v>195000</v>
      </c>
      <c r="P32" s="186">
        <v>159900</v>
      </c>
      <c r="Q32" s="186"/>
      <c r="R32" s="186"/>
      <c r="S32" s="204">
        <v>1200618</v>
      </c>
      <c r="T32" s="204">
        <v>939801</v>
      </c>
      <c r="U32" s="204">
        <f t="shared" si="0"/>
        <v>4817819</v>
      </c>
    </row>
    <row r="33" spans="3:21" ht="14.1" customHeight="1" x14ac:dyDescent="0.25">
      <c r="C33" s="516">
        <v>28</v>
      </c>
      <c r="D33" s="147" t="s">
        <v>268</v>
      </c>
      <c r="E33" s="204">
        <v>0</v>
      </c>
      <c r="F33" s="204"/>
      <c r="G33" s="204">
        <v>0</v>
      </c>
      <c r="H33" s="204">
        <v>0</v>
      </c>
      <c r="I33" s="204">
        <v>0</v>
      </c>
      <c r="J33" s="204">
        <v>341250</v>
      </c>
      <c r="K33" s="204">
        <v>341250</v>
      </c>
      <c r="L33" s="204">
        <v>390000</v>
      </c>
      <c r="M33" s="186">
        <v>1250000</v>
      </c>
      <c r="N33" s="186">
        <v>0</v>
      </c>
      <c r="O33" s="204">
        <v>195000</v>
      </c>
      <c r="P33" s="186">
        <v>319800</v>
      </c>
      <c r="Q33" s="186"/>
      <c r="R33" s="186"/>
      <c r="S33" s="204">
        <v>1200618</v>
      </c>
      <c r="T33" s="204">
        <v>939801</v>
      </c>
      <c r="U33" s="204">
        <f t="shared" si="0"/>
        <v>4977719</v>
      </c>
    </row>
    <row r="34" spans="3:21" ht="14.1" customHeight="1" x14ac:dyDescent="0.25">
      <c r="C34" s="516">
        <v>29</v>
      </c>
      <c r="D34" s="147" t="s">
        <v>269</v>
      </c>
      <c r="E34" s="204">
        <v>0</v>
      </c>
      <c r="F34" s="204"/>
      <c r="G34" s="204">
        <v>0</v>
      </c>
      <c r="H34" s="204">
        <v>0</v>
      </c>
      <c r="I34" s="204">
        <v>0</v>
      </c>
      <c r="J34" s="204">
        <v>341250</v>
      </c>
      <c r="K34" s="204">
        <v>341250</v>
      </c>
      <c r="L34" s="204">
        <v>390000</v>
      </c>
      <c r="M34" s="186">
        <v>1250000</v>
      </c>
      <c r="N34" s="186">
        <v>0</v>
      </c>
      <c r="O34" s="204">
        <v>195000</v>
      </c>
      <c r="P34" s="186">
        <v>159900</v>
      </c>
      <c r="Q34" s="186"/>
      <c r="R34" s="186"/>
      <c r="S34" s="204">
        <v>1200618</v>
      </c>
      <c r="T34" s="204">
        <v>939801</v>
      </c>
      <c r="U34" s="204">
        <f t="shared" si="0"/>
        <v>4817819</v>
      </c>
    </row>
    <row r="35" spans="3:21" ht="14.1" customHeight="1" x14ac:dyDescent="0.25">
      <c r="C35" s="516">
        <v>30</v>
      </c>
      <c r="D35" s="147" t="s">
        <v>270</v>
      </c>
      <c r="E35" s="204">
        <v>0</v>
      </c>
      <c r="F35" s="204"/>
      <c r="G35" s="204">
        <v>0</v>
      </c>
      <c r="H35" s="204">
        <v>0</v>
      </c>
      <c r="I35" s="204">
        <v>0</v>
      </c>
      <c r="J35" s="204">
        <v>341250</v>
      </c>
      <c r="K35" s="204">
        <v>341250</v>
      </c>
      <c r="L35" s="204">
        <v>0</v>
      </c>
      <c r="M35" s="186">
        <v>1250000</v>
      </c>
      <c r="N35" s="186">
        <v>0</v>
      </c>
      <c r="O35" s="204">
        <v>195000</v>
      </c>
      <c r="P35" s="186">
        <v>159900</v>
      </c>
      <c r="Q35" s="186"/>
      <c r="R35" s="186"/>
      <c r="S35" s="204">
        <v>1200618</v>
      </c>
      <c r="T35" s="204">
        <v>939801</v>
      </c>
      <c r="U35" s="204">
        <f t="shared" si="0"/>
        <v>4427819</v>
      </c>
    </row>
    <row r="36" spans="3:21" ht="14.1" customHeight="1" x14ac:dyDescent="0.25">
      <c r="C36" s="516">
        <v>31</v>
      </c>
      <c r="D36" s="147" t="s">
        <v>271</v>
      </c>
      <c r="E36" s="204">
        <v>0</v>
      </c>
      <c r="F36" s="204"/>
      <c r="G36" s="204">
        <v>0</v>
      </c>
      <c r="H36" s="204">
        <v>0</v>
      </c>
      <c r="I36" s="204">
        <v>0</v>
      </c>
      <c r="J36" s="204">
        <v>341250</v>
      </c>
      <c r="K36" s="204">
        <v>341250</v>
      </c>
      <c r="L36" s="204">
        <v>0</v>
      </c>
      <c r="M36" s="186">
        <v>1250000</v>
      </c>
      <c r="N36" s="186">
        <v>0</v>
      </c>
      <c r="O36" s="204">
        <v>195000</v>
      </c>
      <c r="P36" s="186">
        <v>319800</v>
      </c>
      <c r="Q36" s="186"/>
      <c r="R36" s="186"/>
      <c r="S36" s="204">
        <v>1200618</v>
      </c>
      <c r="T36" s="204">
        <v>939801</v>
      </c>
      <c r="U36" s="204">
        <f t="shared" si="0"/>
        <v>4587719</v>
      </c>
    </row>
    <row r="37" spans="3:21" ht="14.1" customHeight="1" x14ac:dyDescent="0.25">
      <c r="C37" s="516">
        <v>32</v>
      </c>
      <c r="D37" s="147" t="s">
        <v>272</v>
      </c>
      <c r="E37" s="204">
        <v>0</v>
      </c>
      <c r="F37" s="204"/>
      <c r="G37" s="204">
        <v>0</v>
      </c>
      <c r="H37" s="204">
        <v>0</v>
      </c>
      <c r="I37" s="204">
        <v>0</v>
      </c>
      <c r="J37" s="204">
        <v>170625</v>
      </c>
      <c r="K37" s="204">
        <v>170625</v>
      </c>
      <c r="L37" s="204">
        <v>0</v>
      </c>
      <c r="M37" s="186">
        <v>1250000</v>
      </c>
      <c r="N37" s="186">
        <v>0</v>
      </c>
      <c r="O37" s="204">
        <v>195000</v>
      </c>
      <c r="P37" s="186">
        <v>159900</v>
      </c>
      <c r="Q37" s="186"/>
      <c r="R37" s="186"/>
      <c r="S37" s="204">
        <v>1200618</v>
      </c>
      <c r="T37" s="204">
        <v>939801</v>
      </c>
      <c r="U37" s="204">
        <f t="shared" si="0"/>
        <v>4086569</v>
      </c>
    </row>
    <row r="38" spans="3:21" ht="14.1" customHeight="1" x14ac:dyDescent="0.25">
      <c r="C38" s="516">
        <v>33</v>
      </c>
      <c r="D38" s="147" t="s">
        <v>273</v>
      </c>
      <c r="E38" s="204">
        <v>0</v>
      </c>
      <c r="F38" s="204"/>
      <c r="G38" s="204">
        <v>0</v>
      </c>
      <c r="H38" s="204">
        <v>0</v>
      </c>
      <c r="I38" s="204">
        <v>0</v>
      </c>
      <c r="J38" s="204">
        <v>341250</v>
      </c>
      <c r="K38" s="204">
        <v>341250</v>
      </c>
      <c r="L38" s="204">
        <v>0</v>
      </c>
      <c r="M38" s="186">
        <v>1250000</v>
      </c>
      <c r="N38" s="186">
        <v>0</v>
      </c>
      <c r="O38" s="204">
        <v>195000</v>
      </c>
      <c r="P38" s="186">
        <v>319800</v>
      </c>
      <c r="Q38" s="186"/>
      <c r="R38" s="186"/>
      <c r="S38" s="204">
        <v>1200618</v>
      </c>
      <c r="T38" s="204">
        <v>939801</v>
      </c>
      <c r="U38" s="204">
        <f t="shared" si="0"/>
        <v>4587719</v>
      </c>
    </row>
    <row r="39" spans="3:21" ht="14.1" customHeight="1" x14ac:dyDescent="0.25">
      <c r="C39" s="516">
        <v>34</v>
      </c>
      <c r="D39" s="147" t="s">
        <v>274</v>
      </c>
      <c r="E39" s="204">
        <v>0</v>
      </c>
      <c r="F39" s="204"/>
      <c r="G39" s="204">
        <v>0</v>
      </c>
      <c r="H39" s="204">
        <v>0</v>
      </c>
      <c r="I39" s="204">
        <v>0</v>
      </c>
      <c r="J39" s="204">
        <v>341250</v>
      </c>
      <c r="K39" s="204">
        <v>341250</v>
      </c>
      <c r="L39" s="204">
        <v>0</v>
      </c>
      <c r="M39" s="186">
        <v>1250000</v>
      </c>
      <c r="N39" s="186">
        <v>0</v>
      </c>
      <c r="O39" s="204">
        <v>195000</v>
      </c>
      <c r="P39" s="186">
        <v>159900</v>
      </c>
      <c r="Q39" s="186"/>
      <c r="R39" s="186"/>
      <c r="S39" s="204">
        <v>1200618</v>
      </c>
      <c r="T39" s="204">
        <v>939801</v>
      </c>
      <c r="U39" s="204">
        <f t="shared" si="0"/>
        <v>4427819</v>
      </c>
    </row>
    <row r="40" spans="3:21" ht="14.1" customHeight="1" x14ac:dyDescent="0.25">
      <c r="C40" s="516">
        <v>35</v>
      </c>
      <c r="D40" s="147" t="s">
        <v>275</v>
      </c>
      <c r="E40" s="204">
        <v>0</v>
      </c>
      <c r="F40" s="204"/>
      <c r="G40" s="204">
        <v>0</v>
      </c>
      <c r="H40" s="204">
        <v>0</v>
      </c>
      <c r="I40" s="204">
        <v>0</v>
      </c>
      <c r="J40" s="204">
        <v>170625</v>
      </c>
      <c r="K40" s="204">
        <v>170625</v>
      </c>
      <c r="L40" s="204">
        <v>390000</v>
      </c>
      <c r="M40" s="186">
        <v>1250000</v>
      </c>
      <c r="N40" s="186">
        <v>0</v>
      </c>
      <c r="O40" s="204">
        <v>195000</v>
      </c>
      <c r="P40" s="186">
        <v>159900</v>
      </c>
      <c r="Q40" s="186"/>
      <c r="R40" s="186"/>
      <c r="S40" s="204">
        <v>1200618</v>
      </c>
      <c r="T40" s="204">
        <v>939801</v>
      </c>
      <c r="U40" s="204">
        <f t="shared" si="0"/>
        <v>4476569</v>
      </c>
    </row>
    <row r="41" spans="3:21" ht="14.1" customHeight="1" x14ac:dyDescent="0.25">
      <c r="C41" s="516">
        <v>36</v>
      </c>
      <c r="D41" s="147" t="s">
        <v>276</v>
      </c>
      <c r="E41" s="204">
        <v>13964944.5</v>
      </c>
      <c r="F41" s="204">
        <v>2340000</v>
      </c>
      <c r="G41" s="204">
        <v>2300000</v>
      </c>
      <c r="H41" s="204">
        <v>812175</v>
      </c>
      <c r="I41" s="204">
        <v>7500000</v>
      </c>
      <c r="J41" s="204">
        <v>682500</v>
      </c>
      <c r="K41" s="204">
        <v>682500</v>
      </c>
      <c r="L41" s="204">
        <v>780000</v>
      </c>
      <c r="M41" s="186">
        <v>3750000</v>
      </c>
      <c r="N41" s="186">
        <v>11000000</v>
      </c>
      <c r="O41" s="204">
        <v>975000</v>
      </c>
      <c r="P41" s="186">
        <v>639600</v>
      </c>
      <c r="Q41" s="186"/>
      <c r="R41" s="186">
        <v>4200000</v>
      </c>
      <c r="S41" s="204">
        <v>2001030</v>
      </c>
      <c r="T41" s="204">
        <v>939801</v>
      </c>
      <c r="U41" s="204">
        <f t="shared" si="0"/>
        <v>52567550.5</v>
      </c>
    </row>
    <row r="42" spans="3:21" ht="14.1" customHeight="1" x14ac:dyDescent="0.25">
      <c r="C42" s="516">
        <v>37</v>
      </c>
      <c r="D42" s="147" t="s">
        <v>277</v>
      </c>
      <c r="E42" s="204">
        <v>1396494.45</v>
      </c>
      <c r="F42" s="204">
        <v>2340000</v>
      </c>
      <c r="G42" s="204">
        <v>2300000</v>
      </c>
      <c r="H42" s="204">
        <v>270725</v>
      </c>
      <c r="I42" s="204">
        <v>7500000</v>
      </c>
      <c r="J42" s="204">
        <v>682500</v>
      </c>
      <c r="K42" s="204">
        <v>682500</v>
      </c>
      <c r="L42" s="204">
        <v>780000</v>
      </c>
      <c r="M42" s="186">
        <v>3750000</v>
      </c>
      <c r="N42" s="186">
        <v>11000000</v>
      </c>
      <c r="O42" s="204">
        <v>975000</v>
      </c>
      <c r="P42" s="186">
        <v>639600</v>
      </c>
      <c r="Q42" s="186"/>
      <c r="R42" s="186">
        <v>4200000</v>
      </c>
      <c r="S42" s="204">
        <v>2001030</v>
      </c>
      <c r="T42" s="204">
        <v>939801</v>
      </c>
      <c r="U42" s="204">
        <f t="shared" si="0"/>
        <v>39457650.450000003</v>
      </c>
    </row>
    <row r="43" spans="3:21" ht="14.1" customHeight="1" x14ac:dyDescent="0.25">
      <c r="C43" s="516">
        <v>38</v>
      </c>
      <c r="D43" s="147" t="s">
        <v>278</v>
      </c>
      <c r="E43" s="204">
        <v>1396494.45</v>
      </c>
      <c r="F43" s="204">
        <v>2340000</v>
      </c>
      <c r="G43" s="204">
        <v>2300000</v>
      </c>
      <c r="H43" s="204">
        <v>812175</v>
      </c>
      <c r="I43" s="204">
        <v>7500000</v>
      </c>
      <c r="J43" s="204">
        <v>682500</v>
      </c>
      <c r="K43" s="204">
        <v>682500</v>
      </c>
      <c r="L43" s="204">
        <v>780000</v>
      </c>
      <c r="M43" s="186">
        <v>1250000</v>
      </c>
      <c r="N43" s="186">
        <v>8250000</v>
      </c>
      <c r="O43" s="204">
        <v>975000</v>
      </c>
      <c r="P43" s="186">
        <v>639600</v>
      </c>
      <c r="Q43" s="186"/>
      <c r="R43" s="186">
        <v>4200000</v>
      </c>
      <c r="S43" s="204">
        <v>2001030</v>
      </c>
      <c r="T43" s="204">
        <v>939801</v>
      </c>
      <c r="U43" s="204">
        <f t="shared" si="0"/>
        <v>34749100.450000003</v>
      </c>
    </row>
    <row r="44" spans="3:21" ht="14.1" customHeight="1" x14ac:dyDescent="0.25">
      <c r="C44" s="516">
        <v>39</v>
      </c>
      <c r="D44" s="147" t="s">
        <v>279</v>
      </c>
      <c r="E44" s="204">
        <v>0</v>
      </c>
      <c r="F44" s="204"/>
      <c r="G44" s="204">
        <v>0</v>
      </c>
      <c r="H44" s="204">
        <v>0</v>
      </c>
      <c r="I44" s="204">
        <v>0</v>
      </c>
      <c r="J44" s="204">
        <v>170625</v>
      </c>
      <c r="K44" s="204">
        <v>170625</v>
      </c>
      <c r="L44" s="204">
        <v>0</v>
      </c>
      <c r="M44" s="186">
        <v>1250000</v>
      </c>
      <c r="N44" s="186">
        <v>0</v>
      </c>
      <c r="O44" s="204">
        <v>0</v>
      </c>
      <c r="P44" s="186">
        <v>159900</v>
      </c>
      <c r="Q44" s="186"/>
      <c r="R44" s="186"/>
      <c r="S44" s="204">
        <v>1200618</v>
      </c>
      <c r="T44" s="204">
        <v>939801</v>
      </c>
      <c r="U44" s="204">
        <f t="shared" si="0"/>
        <v>3891569</v>
      </c>
    </row>
    <row r="45" spans="3:21" ht="14.1" customHeight="1" x14ac:dyDescent="0.25">
      <c r="C45" s="516">
        <v>40</v>
      </c>
      <c r="D45" s="147" t="s">
        <v>280</v>
      </c>
      <c r="E45" s="204">
        <v>0</v>
      </c>
      <c r="F45" s="204"/>
      <c r="G45" s="204">
        <v>0</v>
      </c>
      <c r="H45" s="204">
        <v>0</v>
      </c>
      <c r="I45" s="204">
        <v>0</v>
      </c>
      <c r="J45" s="204">
        <v>0</v>
      </c>
      <c r="K45" s="204">
        <v>0</v>
      </c>
      <c r="L45" s="204">
        <v>0</v>
      </c>
      <c r="M45" s="186"/>
      <c r="N45" s="186">
        <v>0</v>
      </c>
      <c r="O45" s="204">
        <v>0</v>
      </c>
      <c r="P45" s="186">
        <v>0</v>
      </c>
      <c r="Q45" s="186"/>
      <c r="R45" s="186"/>
      <c r="S45" s="204"/>
      <c r="T45" s="204">
        <v>0</v>
      </c>
      <c r="U45" s="204">
        <f t="shared" si="0"/>
        <v>0</v>
      </c>
    </row>
    <row r="46" spans="3:21" ht="14.1" customHeight="1" x14ac:dyDescent="0.25">
      <c r="C46" s="872" t="s">
        <v>297</v>
      </c>
      <c r="D46" s="872"/>
      <c r="E46" s="196">
        <f t="shared" ref="E46:T46" si="1">SUM(E6:E45)</f>
        <v>20947416.75</v>
      </c>
      <c r="F46" s="196">
        <f t="shared" ref="F46:G46" si="2">SUM(F6:F45)</f>
        <v>14040000</v>
      </c>
      <c r="G46" s="196">
        <f t="shared" si="2"/>
        <v>13800000</v>
      </c>
      <c r="H46" s="196">
        <f t="shared" si="1"/>
        <v>4331600</v>
      </c>
      <c r="I46" s="196">
        <f t="shared" si="1"/>
        <v>45000000</v>
      </c>
      <c r="J46" s="196">
        <f t="shared" si="1"/>
        <v>15526875</v>
      </c>
      <c r="K46" s="196">
        <f t="shared" si="1"/>
        <v>15526875</v>
      </c>
      <c r="L46" s="196">
        <f t="shared" si="1"/>
        <v>9360000</v>
      </c>
      <c r="M46" s="196">
        <f t="shared" si="1"/>
        <v>63750000</v>
      </c>
      <c r="N46" s="196">
        <f t="shared" si="1"/>
        <v>57750000</v>
      </c>
      <c r="O46" s="196">
        <f t="shared" si="1"/>
        <v>9360000</v>
      </c>
      <c r="P46" s="196">
        <f t="shared" si="1"/>
        <v>10713300</v>
      </c>
      <c r="Q46" s="196">
        <f t="shared" si="1"/>
        <v>56800000</v>
      </c>
      <c r="R46" s="196">
        <f t="shared" si="1"/>
        <v>25200000</v>
      </c>
      <c r="S46" s="196">
        <f t="shared" si="1"/>
        <v>51626574</v>
      </c>
      <c r="T46" s="196">
        <f t="shared" si="1"/>
        <v>36652239</v>
      </c>
      <c r="U46" s="196">
        <f t="shared" si="0"/>
        <v>450384879.75</v>
      </c>
    </row>
    <row r="47" spans="3:21" ht="14.1" customHeight="1" x14ac:dyDescent="0.25">
      <c r="C47" s="867" t="s">
        <v>282</v>
      </c>
      <c r="D47" s="867"/>
      <c r="E47" s="196">
        <f t="shared" ref="E47:T47" si="3">E46*0.16</f>
        <v>3351586.68</v>
      </c>
      <c r="F47" s="196">
        <f t="shared" ref="F47:G47" si="4">F46*0.16</f>
        <v>2246400</v>
      </c>
      <c r="G47" s="196">
        <f t="shared" si="4"/>
        <v>2208000</v>
      </c>
      <c r="H47" s="196">
        <f t="shared" si="3"/>
        <v>693056</v>
      </c>
      <c r="I47" s="196">
        <f t="shared" si="3"/>
        <v>7200000</v>
      </c>
      <c r="J47" s="196">
        <f t="shared" si="3"/>
        <v>2484300</v>
      </c>
      <c r="K47" s="196">
        <f t="shared" si="3"/>
        <v>2484300</v>
      </c>
      <c r="L47" s="196">
        <f t="shared" si="3"/>
        <v>1497600</v>
      </c>
      <c r="M47" s="196">
        <f t="shared" si="3"/>
        <v>10200000</v>
      </c>
      <c r="N47" s="196">
        <f t="shared" si="3"/>
        <v>9240000</v>
      </c>
      <c r="O47" s="196">
        <f t="shared" si="3"/>
        <v>1497600</v>
      </c>
      <c r="P47" s="196">
        <f t="shared" si="3"/>
        <v>1714128</v>
      </c>
      <c r="Q47" s="196">
        <f t="shared" si="3"/>
        <v>9088000</v>
      </c>
      <c r="R47" s="196">
        <f t="shared" si="3"/>
        <v>4032000</v>
      </c>
      <c r="S47" s="196">
        <f t="shared" si="3"/>
        <v>8260251.8399999999</v>
      </c>
      <c r="T47" s="196">
        <f t="shared" si="3"/>
        <v>5864358.2400000002</v>
      </c>
      <c r="U47" s="196">
        <f t="shared" si="0"/>
        <v>72061580.75999999</v>
      </c>
    </row>
    <row r="48" spans="3:21" ht="14.1" customHeight="1" x14ac:dyDescent="0.25">
      <c r="C48" s="867" t="s">
        <v>298</v>
      </c>
      <c r="D48" s="867"/>
      <c r="E48" s="196">
        <f t="shared" ref="E48:T48" si="5">SUM(E46:E47)</f>
        <v>24299003.43</v>
      </c>
      <c r="F48" s="196">
        <f t="shared" ref="F48:G48" si="6">SUM(F46:F47)</f>
        <v>16286400</v>
      </c>
      <c r="G48" s="196">
        <f t="shared" si="6"/>
        <v>16008000</v>
      </c>
      <c r="H48" s="196">
        <f t="shared" si="5"/>
        <v>5024656</v>
      </c>
      <c r="I48" s="196">
        <f t="shared" si="5"/>
        <v>52200000</v>
      </c>
      <c r="J48" s="196">
        <f t="shared" si="5"/>
        <v>18011175</v>
      </c>
      <c r="K48" s="196">
        <f t="shared" si="5"/>
        <v>18011175</v>
      </c>
      <c r="L48" s="196">
        <f t="shared" si="5"/>
        <v>10857600</v>
      </c>
      <c r="M48" s="196">
        <f t="shared" si="5"/>
        <v>73950000</v>
      </c>
      <c r="N48" s="196">
        <f t="shared" si="5"/>
        <v>66990000</v>
      </c>
      <c r="O48" s="196">
        <f t="shared" si="5"/>
        <v>10857600</v>
      </c>
      <c r="P48" s="196">
        <f t="shared" si="5"/>
        <v>12427428</v>
      </c>
      <c r="Q48" s="196">
        <f t="shared" si="5"/>
        <v>65888000</v>
      </c>
      <c r="R48" s="196">
        <f t="shared" si="5"/>
        <v>29232000</v>
      </c>
      <c r="S48" s="196">
        <f t="shared" si="5"/>
        <v>59886825.840000004</v>
      </c>
      <c r="T48" s="196">
        <f t="shared" si="5"/>
        <v>42516597.240000002</v>
      </c>
      <c r="U48" s="196">
        <f t="shared" si="0"/>
        <v>522446460.50999999</v>
      </c>
    </row>
  </sheetData>
  <mergeCells count="22">
    <mergeCell ref="C3:U3"/>
    <mergeCell ref="C4:C5"/>
    <mergeCell ref="D4:D5"/>
    <mergeCell ref="E4:E5"/>
    <mergeCell ref="H4:H5"/>
    <mergeCell ref="I4:I5"/>
    <mergeCell ref="L4:L5"/>
    <mergeCell ref="M4:M5"/>
    <mergeCell ref="U4:U5"/>
    <mergeCell ref="N4:N5"/>
    <mergeCell ref="O4:O5"/>
    <mergeCell ref="P4:P5"/>
    <mergeCell ref="Q4:Q5"/>
    <mergeCell ref="R4:R5"/>
    <mergeCell ref="T4:T5"/>
    <mergeCell ref="S4:S5"/>
    <mergeCell ref="J4:K4"/>
    <mergeCell ref="C46:D46"/>
    <mergeCell ref="C47:D47"/>
    <mergeCell ref="C48:D48"/>
    <mergeCell ref="F4:F5"/>
    <mergeCell ref="G4:G5"/>
  </mergeCells>
  <printOptions horizontalCentered="1"/>
  <pageMargins left="0.7" right="0.7" top="0.75" bottom="0.75" header="0.3" footer="0.3"/>
  <pageSetup paperSize="5" scale="7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rgb="FF00B0F0"/>
  </sheetPr>
  <dimension ref="C3:U47"/>
  <sheetViews>
    <sheetView view="pageLayout" topLeftCell="B1" zoomScale="80" zoomScaleNormal="100" zoomScalePageLayoutView="80" workbookViewId="0">
      <selection activeCell="U5" sqref="U5"/>
    </sheetView>
  </sheetViews>
  <sheetFormatPr baseColWidth="10" defaultRowHeight="12" x14ac:dyDescent="0.25"/>
  <cols>
    <col min="1" max="2" width="11.42578125" style="226"/>
    <col min="3" max="3" width="3.42578125" style="226" bestFit="1" customWidth="1"/>
    <col min="4" max="4" width="20" style="226" customWidth="1"/>
    <col min="5" max="5" width="9.140625" style="226" customWidth="1"/>
    <col min="6" max="6" width="9.7109375" style="226" customWidth="1"/>
    <col min="7" max="7" width="10" style="191" customWidth="1"/>
    <col min="8" max="8" width="9.7109375" style="226" customWidth="1"/>
    <col min="9" max="9" width="10.140625" style="226" customWidth="1"/>
    <col min="10" max="10" width="11.28515625" style="226" customWidth="1"/>
    <col min="11" max="11" width="9.7109375" style="226" customWidth="1"/>
    <col min="12" max="12" width="10.28515625" style="226" customWidth="1"/>
    <col min="13" max="13" width="10.85546875" style="226" customWidth="1"/>
    <col min="14" max="14" width="9.5703125" style="226" customWidth="1"/>
    <col min="15" max="20" width="10.5703125" style="226" customWidth="1"/>
    <col min="21" max="21" width="13.7109375" style="226" customWidth="1"/>
    <col min="22" max="16384" width="11.42578125" style="226"/>
  </cols>
  <sheetData>
    <row r="3" spans="3:21" x14ac:dyDescent="0.25">
      <c r="C3" s="867" t="s">
        <v>1403</v>
      </c>
      <c r="D3" s="867"/>
      <c r="E3" s="867"/>
      <c r="F3" s="867"/>
      <c r="G3" s="867"/>
      <c r="H3" s="867"/>
      <c r="I3" s="867"/>
      <c r="J3" s="867"/>
      <c r="K3" s="867"/>
      <c r="L3" s="867"/>
      <c r="M3" s="867"/>
      <c r="N3" s="867"/>
      <c r="O3" s="867"/>
      <c r="P3" s="867"/>
      <c r="Q3" s="867"/>
      <c r="R3" s="867"/>
      <c r="S3" s="867"/>
      <c r="T3" s="867"/>
      <c r="U3" s="867"/>
    </row>
    <row r="4" spans="3:21" ht="90" customHeight="1" x14ac:dyDescent="0.25">
      <c r="C4" s="511" t="s">
        <v>472</v>
      </c>
      <c r="D4" s="513" t="s">
        <v>287</v>
      </c>
      <c r="E4" s="521" t="s">
        <v>498</v>
      </c>
      <c r="F4" s="521" t="s">
        <v>1442</v>
      </c>
      <c r="G4" s="521" t="s">
        <v>1659</v>
      </c>
      <c r="H4" s="521" t="s">
        <v>502</v>
      </c>
      <c r="I4" s="521" t="s">
        <v>503</v>
      </c>
      <c r="J4" s="521" t="s">
        <v>504</v>
      </c>
      <c r="K4" s="521" t="s">
        <v>505</v>
      </c>
      <c r="L4" s="405" t="s">
        <v>1512</v>
      </c>
      <c r="M4" s="405" t="s">
        <v>1613</v>
      </c>
      <c r="N4" s="405" t="s">
        <v>508</v>
      </c>
      <c r="O4" s="521" t="s">
        <v>1658</v>
      </c>
      <c r="P4" s="519" t="s">
        <v>699</v>
      </c>
      <c r="Q4" s="409" t="s">
        <v>1456</v>
      </c>
      <c r="R4" s="519" t="s">
        <v>670</v>
      </c>
      <c r="S4" s="519" t="s">
        <v>1455</v>
      </c>
      <c r="T4" s="519" t="s">
        <v>1441</v>
      </c>
      <c r="U4" s="513" t="s">
        <v>298</v>
      </c>
    </row>
    <row r="5" spans="3:21" ht="14.1" customHeight="1" x14ac:dyDescent="0.25">
      <c r="C5" s="516">
        <v>1</v>
      </c>
      <c r="D5" s="147" t="s">
        <v>241</v>
      </c>
      <c r="E5" s="204">
        <v>0</v>
      </c>
      <c r="F5" s="204">
        <v>0</v>
      </c>
      <c r="G5" s="204">
        <v>469625</v>
      </c>
      <c r="H5" s="204">
        <v>1011400</v>
      </c>
      <c r="I5" s="204">
        <v>375700</v>
      </c>
      <c r="J5" s="204">
        <v>0</v>
      </c>
      <c r="K5" s="204"/>
      <c r="L5" s="204"/>
      <c r="M5" s="204"/>
      <c r="N5" s="204"/>
      <c r="O5" s="204"/>
      <c r="P5" s="204">
        <v>0</v>
      </c>
      <c r="Q5" s="204">
        <v>120000</v>
      </c>
      <c r="R5" s="204">
        <v>0</v>
      </c>
      <c r="S5" s="204">
        <v>0</v>
      </c>
      <c r="T5" s="204">
        <v>0</v>
      </c>
      <c r="U5" s="204">
        <f t="shared" ref="U5:U44" si="0">SUM(E5:T5)</f>
        <v>1976725</v>
      </c>
    </row>
    <row r="6" spans="3:21" ht="14.1" customHeight="1" x14ac:dyDescent="0.25">
      <c r="C6" s="516">
        <v>2</v>
      </c>
      <c r="D6" s="147" t="s">
        <v>242</v>
      </c>
      <c r="E6" s="204">
        <v>555600</v>
      </c>
      <c r="F6" s="204">
        <v>4320000</v>
      </c>
      <c r="G6" s="204">
        <v>939250</v>
      </c>
      <c r="H6" s="204">
        <v>2022800</v>
      </c>
      <c r="I6" s="204">
        <v>1502800</v>
      </c>
      <c r="J6" s="204">
        <v>98000000</v>
      </c>
      <c r="K6" s="204">
        <v>2500000</v>
      </c>
      <c r="L6" s="204">
        <v>3412140</v>
      </c>
      <c r="M6" s="204">
        <v>33400000</v>
      </c>
      <c r="N6" s="204">
        <v>3200000</v>
      </c>
      <c r="O6" s="204">
        <v>2250000</v>
      </c>
      <c r="P6" s="204">
        <v>58000000</v>
      </c>
      <c r="Q6" s="204">
        <v>120000</v>
      </c>
      <c r="R6" s="204">
        <v>0</v>
      </c>
      <c r="S6" s="204">
        <v>0</v>
      </c>
      <c r="T6" s="204">
        <v>38000000</v>
      </c>
      <c r="U6" s="204">
        <f t="shared" si="0"/>
        <v>248222590</v>
      </c>
    </row>
    <row r="7" spans="3:21" ht="14.1" customHeight="1" x14ac:dyDescent="0.25">
      <c r="C7" s="516">
        <v>3</v>
      </c>
      <c r="D7" s="147" t="s">
        <v>243</v>
      </c>
      <c r="E7" s="204">
        <v>0</v>
      </c>
      <c r="F7" s="204">
        <v>0</v>
      </c>
      <c r="G7" s="204">
        <v>469625</v>
      </c>
      <c r="H7" s="204">
        <v>1011400</v>
      </c>
      <c r="I7" s="204">
        <v>375700</v>
      </c>
      <c r="J7" s="204">
        <v>0</v>
      </c>
      <c r="K7" s="204"/>
      <c r="L7" s="204"/>
      <c r="M7" s="204"/>
      <c r="N7" s="204"/>
      <c r="O7" s="204"/>
      <c r="P7" s="204">
        <v>0</v>
      </c>
      <c r="Q7" s="204">
        <v>120000</v>
      </c>
      <c r="R7" s="204">
        <v>2860000</v>
      </c>
      <c r="S7" s="204">
        <v>0</v>
      </c>
      <c r="T7" s="204">
        <v>0</v>
      </c>
      <c r="U7" s="204">
        <f t="shared" si="0"/>
        <v>4836725</v>
      </c>
    </row>
    <row r="8" spans="3:21" ht="14.1" customHeight="1" x14ac:dyDescent="0.25">
      <c r="C8" s="516">
        <v>4</v>
      </c>
      <c r="D8" s="147" t="s">
        <v>244</v>
      </c>
      <c r="E8" s="204">
        <v>0</v>
      </c>
      <c r="F8" s="204">
        <v>0</v>
      </c>
      <c r="G8" s="204">
        <v>469625</v>
      </c>
      <c r="H8" s="204">
        <v>1011400</v>
      </c>
      <c r="I8" s="204">
        <v>375700</v>
      </c>
      <c r="J8" s="204">
        <v>0</v>
      </c>
      <c r="K8" s="204"/>
      <c r="L8" s="204"/>
      <c r="M8" s="204"/>
      <c r="N8" s="204"/>
      <c r="O8" s="204"/>
      <c r="P8" s="204">
        <v>0</v>
      </c>
      <c r="Q8" s="204">
        <v>120000</v>
      </c>
      <c r="R8" s="204">
        <v>0</v>
      </c>
      <c r="S8" s="204">
        <v>0</v>
      </c>
      <c r="T8" s="204">
        <v>0</v>
      </c>
      <c r="U8" s="204">
        <f t="shared" si="0"/>
        <v>1976725</v>
      </c>
    </row>
    <row r="9" spans="3:21" ht="14.1" customHeight="1" x14ac:dyDescent="0.25">
      <c r="C9" s="516">
        <v>5</v>
      </c>
      <c r="D9" s="147" t="s">
        <v>245</v>
      </c>
      <c r="E9" s="204">
        <v>0</v>
      </c>
      <c r="F9" s="204">
        <v>0</v>
      </c>
      <c r="G9" s="204">
        <v>469625</v>
      </c>
      <c r="H9" s="204">
        <v>1011400</v>
      </c>
      <c r="I9" s="204">
        <v>375700</v>
      </c>
      <c r="J9" s="204">
        <v>0</v>
      </c>
      <c r="K9" s="204"/>
      <c r="L9" s="204"/>
      <c r="M9" s="204"/>
      <c r="N9" s="204"/>
      <c r="O9" s="204"/>
      <c r="P9" s="204">
        <v>0</v>
      </c>
      <c r="Q9" s="204">
        <v>120000</v>
      </c>
      <c r="R9" s="204">
        <v>2860000</v>
      </c>
      <c r="S9" s="204">
        <v>0</v>
      </c>
      <c r="T9" s="204">
        <v>0</v>
      </c>
      <c r="U9" s="204">
        <f t="shared" si="0"/>
        <v>4836725</v>
      </c>
    </row>
    <row r="10" spans="3:21" ht="14.1" customHeight="1" x14ac:dyDescent="0.25">
      <c r="C10" s="516">
        <v>6</v>
      </c>
      <c r="D10" s="147" t="s">
        <v>246</v>
      </c>
      <c r="E10" s="204">
        <v>0</v>
      </c>
      <c r="F10" s="204">
        <v>0</v>
      </c>
      <c r="G10" s="204">
        <v>469625</v>
      </c>
      <c r="H10" s="204">
        <v>1011400</v>
      </c>
      <c r="I10" s="204">
        <v>375700</v>
      </c>
      <c r="J10" s="204">
        <v>0</v>
      </c>
      <c r="K10" s="204"/>
      <c r="L10" s="204"/>
      <c r="M10" s="204"/>
      <c r="N10" s="204"/>
      <c r="O10" s="204"/>
      <c r="P10" s="204">
        <v>0</v>
      </c>
      <c r="Q10" s="204">
        <v>120000</v>
      </c>
      <c r="R10" s="204">
        <v>2860000</v>
      </c>
      <c r="S10" s="204">
        <v>0</v>
      </c>
      <c r="T10" s="204">
        <v>0</v>
      </c>
      <c r="U10" s="204">
        <f t="shared" si="0"/>
        <v>4836725</v>
      </c>
    </row>
    <row r="11" spans="3:21" ht="14.1" customHeight="1" x14ac:dyDescent="0.25">
      <c r="C11" s="516">
        <v>7</v>
      </c>
      <c r="D11" s="147" t="s">
        <v>247</v>
      </c>
      <c r="E11" s="204">
        <v>0</v>
      </c>
      <c r="F11" s="204">
        <v>0</v>
      </c>
      <c r="G11" s="204">
        <v>469625</v>
      </c>
      <c r="H11" s="204">
        <v>1011400</v>
      </c>
      <c r="I11" s="204">
        <v>375700</v>
      </c>
      <c r="J11" s="204">
        <v>0</v>
      </c>
      <c r="K11" s="204"/>
      <c r="L11" s="204"/>
      <c r="M11" s="204"/>
      <c r="N11" s="204"/>
      <c r="O11" s="204"/>
      <c r="P11" s="204">
        <v>0</v>
      </c>
      <c r="Q11" s="204">
        <v>120000</v>
      </c>
      <c r="R11" s="204">
        <v>0</v>
      </c>
      <c r="S11" s="204">
        <v>0</v>
      </c>
      <c r="T11" s="204">
        <v>0</v>
      </c>
      <c r="U11" s="204">
        <f t="shared" si="0"/>
        <v>1976725</v>
      </c>
    </row>
    <row r="12" spans="3:21" ht="14.1" customHeight="1" x14ac:dyDescent="0.25">
      <c r="C12" s="516">
        <v>8</v>
      </c>
      <c r="D12" s="147" t="s">
        <v>248</v>
      </c>
      <c r="E12" s="204">
        <v>0</v>
      </c>
      <c r="F12" s="204">
        <v>0</v>
      </c>
      <c r="G12" s="204">
        <v>469625</v>
      </c>
      <c r="H12" s="204">
        <v>1011400</v>
      </c>
      <c r="I12" s="204">
        <v>375700</v>
      </c>
      <c r="J12" s="204">
        <v>0</v>
      </c>
      <c r="K12" s="204"/>
      <c r="L12" s="204"/>
      <c r="M12" s="204"/>
      <c r="N12" s="204"/>
      <c r="O12" s="204"/>
      <c r="P12" s="204">
        <v>0</v>
      </c>
      <c r="Q12" s="204">
        <v>120000</v>
      </c>
      <c r="R12" s="204">
        <v>2860000</v>
      </c>
      <c r="S12" s="204">
        <v>0</v>
      </c>
      <c r="T12" s="204">
        <v>0</v>
      </c>
      <c r="U12" s="204">
        <f t="shared" si="0"/>
        <v>4836725</v>
      </c>
    </row>
    <row r="13" spans="3:21" ht="14.1" customHeight="1" x14ac:dyDescent="0.25">
      <c r="C13" s="516">
        <v>9</v>
      </c>
      <c r="D13" s="147" t="s">
        <v>249</v>
      </c>
      <c r="E13" s="204">
        <v>0</v>
      </c>
      <c r="F13" s="204">
        <v>0</v>
      </c>
      <c r="G13" s="204">
        <v>469625</v>
      </c>
      <c r="H13" s="204">
        <v>1011400</v>
      </c>
      <c r="I13" s="204">
        <v>375700</v>
      </c>
      <c r="J13" s="204">
        <v>0</v>
      </c>
      <c r="K13" s="204"/>
      <c r="L13" s="204"/>
      <c r="M13" s="204"/>
      <c r="N13" s="204"/>
      <c r="O13" s="204"/>
      <c r="P13" s="204">
        <v>0</v>
      </c>
      <c r="Q13" s="204"/>
      <c r="R13" s="204">
        <v>0</v>
      </c>
      <c r="S13" s="204">
        <v>0</v>
      </c>
      <c r="T13" s="204">
        <v>0</v>
      </c>
      <c r="U13" s="204">
        <f t="shared" si="0"/>
        <v>1856725</v>
      </c>
    </row>
    <row r="14" spans="3:21" ht="14.1" customHeight="1" x14ac:dyDescent="0.25">
      <c r="C14" s="516">
        <v>10</v>
      </c>
      <c r="D14" s="147" t="s">
        <v>250</v>
      </c>
      <c r="E14" s="204">
        <v>0</v>
      </c>
      <c r="F14" s="204">
        <v>0</v>
      </c>
      <c r="G14" s="204">
        <v>469625</v>
      </c>
      <c r="H14" s="204">
        <v>1011400</v>
      </c>
      <c r="I14" s="204">
        <v>375700</v>
      </c>
      <c r="J14" s="204">
        <v>0</v>
      </c>
      <c r="K14" s="204"/>
      <c r="L14" s="204"/>
      <c r="M14" s="204"/>
      <c r="N14" s="204"/>
      <c r="O14" s="204"/>
      <c r="P14" s="204">
        <v>0</v>
      </c>
      <c r="Q14" s="204">
        <v>120000</v>
      </c>
      <c r="R14" s="204">
        <v>2860000</v>
      </c>
      <c r="S14" s="204">
        <v>0</v>
      </c>
      <c r="T14" s="204">
        <v>0</v>
      </c>
      <c r="U14" s="204">
        <f t="shared" si="0"/>
        <v>4836725</v>
      </c>
    </row>
    <row r="15" spans="3:21" ht="14.1" customHeight="1" x14ac:dyDescent="0.25">
      <c r="C15" s="516">
        <v>11</v>
      </c>
      <c r="D15" s="147" t="s">
        <v>251</v>
      </c>
      <c r="E15" s="204">
        <v>0</v>
      </c>
      <c r="F15" s="204">
        <v>0</v>
      </c>
      <c r="G15" s="204">
        <v>469625</v>
      </c>
      <c r="H15" s="204">
        <v>1011400</v>
      </c>
      <c r="I15" s="204">
        <v>375700</v>
      </c>
      <c r="J15" s="204">
        <v>0</v>
      </c>
      <c r="K15" s="204"/>
      <c r="L15" s="204"/>
      <c r="M15" s="204"/>
      <c r="N15" s="204"/>
      <c r="O15" s="204"/>
      <c r="P15" s="204">
        <v>0</v>
      </c>
      <c r="Q15" s="204">
        <v>120000</v>
      </c>
      <c r="R15" s="204">
        <v>0</v>
      </c>
      <c r="S15" s="204">
        <v>0</v>
      </c>
      <c r="T15" s="204">
        <v>0</v>
      </c>
      <c r="U15" s="204">
        <f t="shared" si="0"/>
        <v>1976725</v>
      </c>
    </row>
    <row r="16" spans="3:21" ht="14.1" customHeight="1" x14ac:dyDescent="0.25">
      <c r="C16" s="516">
        <v>12</v>
      </c>
      <c r="D16" s="147" t="s">
        <v>252</v>
      </c>
      <c r="E16" s="204">
        <v>0</v>
      </c>
      <c r="F16" s="204">
        <v>0</v>
      </c>
      <c r="G16" s="204">
        <v>469625</v>
      </c>
      <c r="H16" s="204">
        <v>1011400</v>
      </c>
      <c r="I16" s="204">
        <v>375700</v>
      </c>
      <c r="J16" s="204">
        <v>0</v>
      </c>
      <c r="K16" s="204"/>
      <c r="L16" s="204"/>
      <c r="M16" s="204"/>
      <c r="N16" s="204"/>
      <c r="O16" s="204"/>
      <c r="P16" s="204">
        <v>0</v>
      </c>
      <c r="Q16" s="204">
        <v>120000</v>
      </c>
      <c r="R16" s="204">
        <v>2860000</v>
      </c>
      <c r="S16" s="204">
        <v>0</v>
      </c>
      <c r="T16" s="204">
        <v>0</v>
      </c>
      <c r="U16" s="204">
        <f t="shared" si="0"/>
        <v>4836725</v>
      </c>
    </row>
    <row r="17" spans="3:21" ht="14.1" customHeight="1" x14ac:dyDescent="0.25">
      <c r="C17" s="516">
        <v>13</v>
      </c>
      <c r="D17" s="147" t="s">
        <v>253</v>
      </c>
      <c r="E17" s="204">
        <v>0</v>
      </c>
      <c r="F17" s="204">
        <v>0</v>
      </c>
      <c r="G17" s="204">
        <v>469625</v>
      </c>
      <c r="H17" s="204">
        <v>1011400</v>
      </c>
      <c r="I17" s="204">
        <v>375700</v>
      </c>
      <c r="J17" s="204">
        <v>0</v>
      </c>
      <c r="K17" s="204"/>
      <c r="L17" s="204"/>
      <c r="M17" s="204"/>
      <c r="N17" s="204"/>
      <c r="O17" s="204"/>
      <c r="P17" s="204">
        <v>0</v>
      </c>
      <c r="Q17" s="204">
        <v>120000</v>
      </c>
      <c r="R17" s="204">
        <v>0</v>
      </c>
      <c r="S17" s="204">
        <v>0</v>
      </c>
      <c r="T17" s="204">
        <v>0</v>
      </c>
      <c r="U17" s="204">
        <f t="shared" si="0"/>
        <v>1976725</v>
      </c>
    </row>
    <row r="18" spans="3:21" ht="14.1" customHeight="1" x14ac:dyDescent="0.25">
      <c r="C18" s="516">
        <v>14</v>
      </c>
      <c r="D18" s="147" t="s">
        <v>254</v>
      </c>
      <c r="E18" s="204">
        <v>0</v>
      </c>
      <c r="F18" s="204">
        <v>0</v>
      </c>
      <c r="G18" s="204">
        <v>469625</v>
      </c>
      <c r="H18" s="204">
        <v>1011400</v>
      </c>
      <c r="I18" s="204">
        <v>375700</v>
      </c>
      <c r="J18" s="204">
        <v>0</v>
      </c>
      <c r="K18" s="204"/>
      <c r="L18" s="204"/>
      <c r="M18" s="204"/>
      <c r="N18" s="204"/>
      <c r="O18" s="204"/>
      <c r="P18" s="204">
        <v>0</v>
      </c>
      <c r="Q18" s="204">
        <v>120000</v>
      </c>
      <c r="R18" s="204">
        <v>2860000</v>
      </c>
      <c r="S18" s="204">
        <v>0</v>
      </c>
      <c r="T18" s="204">
        <v>0</v>
      </c>
      <c r="U18" s="204">
        <f t="shared" si="0"/>
        <v>4836725</v>
      </c>
    </row>
    <row r="19" spans="3:21" ht="14.1" customHeight="1" x14ac:dyDescent="0.25">
      <c r="C19" s="516">
        <v>15</v>
      </c>
      <c r="D19" s="147" t="s">
        <v>255</v>
      </c>
      <c r="E19" s="204">
        <v>0</v>
      </c>
      <c r="F19" s="204">
        <v>0</v>
      </c>
      <c r="G19" s="204">
        <v>469625</v>
      </c>
      <c r="H19" s="204">
        <v>1011400</v>
      </c>
      <c r="I19" s="204">
        <v>375700</v>
      </c>
      <c r="J19" s="204">
        <v>0</v>
      </c>
      <c r="K19" s="204"/>
      <c r="L19" s="204"/>
      <c r="M19" s="204"/>
      <c r="N19" s="204"/>
      <c r="O19" s="204"/>
      <c r="P19" s="204">
        <v>0</v>
      </c>
      <c r="Q19" s="204">
        <v>120000</v>
      </c>
      <c r="R19" s="204">
        <v>0</v>
      </c>
      <c r="S19" s="204">
        <v>0</v>
      </c>
      <c r="T19" s="204">
        <v>0</v>
      </c>
      <c r="U19" s="204">
        <f t="shared" si="0"/>
        <v>1976725</v>
      </c>
    </row>
    <row r="20" spans="3:21" ht="14.1" customHeight="1" x14ac:dyDescent="0.25">
      <c r="C20" s="516">
        <v>16</v>
      </c>
      <c r="D20" s="147" t="s">
        <v>256</v>
      </c>
      <c r="E20" s="204">
        <v>0</v>
      </c>
      <c r="F20" s="204">
        <v>0</v>
      </c>
      <c r="G20" s="204">
        <v>469625</v>
      </c>
      <c r="H20" s="204">
        <v>1011400</v>
      </c>
      <c r="I20" s="204">
        <v>375700</v>
      </c>
      <c r="J20" s="204">
        <v>0</v>
      </c>
      <c r="K20" s="204"/>
      <c r="L20" s="204"/>
      <c r="M20" s="204"/>
      <c r="N20" s="204"/>
      <c r="O20" s="204"/>
      <c r="P20" s="204">
        <v>0</v>
      </c>
      <c r="Q20" s="204">
        <v>120000</v>
      </c>
      <c r="R20" s="204">
        <v>0</v>
      </c>
      <c r="S20" s="204">
        <v>0</v>
      </c>
      <c r="T20" s="204">
        <v>0</v>
      </c>
      <c r="U20" s="204">
        <f t="shared" si="0"/>
        <v>1976725</v>
      </c>
    </row>
    <row r="21" spans="3:21" ht="14.1" customHeight="1" x14ac:dyDescent="0.25">
      <c r="C21" s="516">
        <v>17</v>
      </c>
      <c r="D21" s="147" t="s">
        <v>257</v>
      </c>
      <c r="E21" s="204">
        <v>0</v>
      </c>
      <c r="F21" s="204">
        <v>0</v>
      </c>
      <c r="G21" s="204">
        <v>469625</v>
      </c>
      <c r="H21" s="204">
        <v>1011400</v>
      </c>
      <c r="I21" s="204">
        <v>375700</v>
      </c>
      <c r="J21" s="204">
        <v>0</v>
      </c>
      <c r="K21" s="204"/>
      <c r="L21" s="204"/>
      <c r="M21" s="204"/>
      <c r="N21" s="204"/>
      <c r="O21" s="204"/>
      <c r="P21" s="204">
        <v>0</v>
      </c>
      <c r="Q21" s="204">
        <v>120000</v>
      </c>
      <c r="R21" s="204">
        <v>0</v>
      </c>
      <c r="S21" s="204">
        <v>0</v>
      </c>
      <c r="T21" s="204">
        <v>0</v>
      </c>
      <c r="U21" s="204">
        <f t="shared" si="0"/>
        <v>1976725</v>
      </c>
    </row>
    <row r="22" spans="3:21" ht="14.1" customHeight="1" x14ac:dyDescent="0.25">
      <c r="C22" s="516">
        <v>18</v>
      </c>
      <c r="D22" s="147" t="s">
        <v>258</v>
      </c>
      <c r="E22" s="204">
        <v>0</v>
      </c>
      <c r="F22" s="204">
        <v>0</v>
      </c>
      <c r="G22" s="204">
        <v>469625</v>
      </c>
      <c r="H22" s="204">
        <v>1011400</v>
      </c>
      <c r="I22" s="204">
        <v>375700</v>
      </c>
      <c r="J22" s="204">
        <v>0</v>
      </c>
      <c r="K22" s="204"/>
      <c r="L22" s="204"/>
      <c r="M22" s="204"/>
      <c r="N22" s="204"/>
      <c r="O22" s="204"/>
      <c r="P22" s="204">
        <v>0</v>
      </c>
      <c r="Q22" s="204">
        <v>120000</v>
      </c>
      <c r="R22" s="204">
        <v>2860000</v>
      </c>
      <c r="S22" s="204">
        <v>0</v>
      </c>
      <c r="T22" s="204">
        <v>0</v>
      </c>
      <c r="U22" s="204">
        <f t="shared" si="0"/>
        <v>4836725</v>
      </c>
    </row>
    <row r="23" spans="3:21" ht="14.1" customHeight="1" x14ac:dyDescent="0.25">
      <c r="C23" s="516">
        <v>19</v>
      </c>
      <c r="D23" s="147" t="s">
        <v>259</v>
      </c>
      <c r="E23" s="204">
        <v>555600</v>
      </c>
      <c r="F23" s="204">
        <v>4320000</v>
      </c>
      <c r="G23" s="204">
        <v>939250</v>
      </c>
      <c r="H23" s="204">
        <v>2022800</v>
      </c>
      <c r="I23" s="204">
        <v>1502800</v>
      </c>
      <c r="J23" s="204">
        <v>98000000</v>
      </c>
      <c r="K23" s="204">
        <v>2500000</v>
      </c>
      <c r="L23" s="204">
        <v>3412140</v>
      </c>
      <c r="M23" s="204">
        <v>33400000</v>
      </c>
      <c r="N23" s="204">
        <v>3200000</v>
      </c>
      <c r="O23" s="204">
        <v>2250000</v>
      </c>
      <c r="P23" s="204">
        <v>58000000</v>
      </c>
      <c r="Q23" s="204">
        <v>120000</v>
      </c>
      <c r="R23" s="204">
        <v>0</v>
      </c>
      <c r="S23" s="204">
        <v>0</v>
      </c>
      <c r="T23" s="204">
        <v>0</v>
      </c>
      <c r="U23" s="204">
        <f t="shared" si="0"/>
        <v>210222590</v>
      </c>
    </row>
    <row r="24" spans="3:21" ht="14.1" customHeight="1" x14ac:dyDescent="0.25">
      <c r="C24" s="516">
        <v>20</v>
      </c>
      <c r="D24" s="147" t="s">
        <v>260</v>
      </c>
      <c r="E24" s="204">
        <v>0</v>
      </c>
      <c r="F24" s="204">
        <v>0</v>
      </c>
      <c r="G24" s="204">
        <v>469625</v>
      </c>
      <c r="H24" s="204">
        <v>1011400</v>
      </c>
      <c r="I24" s="204">
        <v>375700</v>
      </c>
      <c r="J24" s="204">
        <v>0</v>
      </c>
      <c r="K24" s="204"/>
      <c r="L24" s="204"/>
      <c r="M24" s="204"/>
      <c r="N24" s="204"/>
      <c r="O24" s="204"/>
      <c r="P24" s="204">
        <v>0</v>
      </c>
      <c r="Q24" s="204">
        <v>120000</v>
      </c>
      <c r="R24" s="204">
        <v>2860000</v>
      </c>
      <c r="S24" s="204">
        <v>0</v>
      </c>
      <c r="T24" s="204">
        <v>0</v>
      </c>
      <c r="U24" s="204">
        <f t="shared" si="0"/>
        <v>4836725</v>
      </c>
    </row>
    <row r="25" spans="3:21" ht="14.1" customHeight="1" x14ac:dyDescent="0.25">
      <c r="C25" s="516">
        <v>21</v>
      </c>
      <c r="D25" s="147" t="s">
        <v>261</v>
      </c>
      <c r="E25" s="204">
        <v>0</v>
      </c>
      <c r="F25" s="204">
        <v>0</v>
      </c>
      <c r="G25" s="204">
        <v>469625</v>
      </c>
      <c r="H25" s="204">
        <v>1011400</v>
      </c>
      <c r="I25" s="204">
        <v>751400</v>
      </c>
      <c r="J25" s="204">
        <v>0</v>
      </c>
      <c r="K25" s="204"/>
      <c r="L25" s="204"/>
      <c r="M25" s="204"/>
      <c r="N25" s="204"/>
      <c r="O25" s="204"/>
      <c r="P25" s="204">
        <v>0</v>
      </c>
      <c r="Q25" s="204">
        <v>120000</v>
      </c>
      <c r="R25" s="204">
        <v>2860000</v>
      </c>
      <c r="S25" s="204">
        <v>1950000</v>
      </c>
      <c r="T25" s="204">
        <v>0</v>
      </c>
      <c r="U25" s="204">
        <f t="shared" si="0"/>
        <v>7162425</v>
      </c>
    </row>
    <row r="26" spans="3:21" ht="14.1" customHeight="1" x14ac:dyDescent="0.25">
      <c r="C26" s="516">
        <v>22</v>
      </c>
      <c r="D26" s="147" t="s">
        <v>262</v>
      </c>
      <c r="E26" s="204">
        <v>0</v>
      </c>
      <c r="F26" s="204">
        <v>0</v>
      </c>
      <c r="G26" s="204">
        <v>469625</v>
      </c>
      <c r="H26" s="204">
        <v>1011400</v>
      </c>
      <c r="I26" s="204">
        <v>375700</v>
      </c>
      <c r="J26" s="204">
        <v>0</v>
      </c>
      <c r="K26" s="204"/>
      <c r="L26" s="204"/>
      <c r="M26" s="204"/>
      <c r="N26" s="204"/>
      <c r="O26" s="204"/>
      <c r="P26" s="204">
        <v>0</v>
      </c>
      <c r="Q26" s="204">
        <v>120000</v>
      </c>
      <c r="R26" s="204">
        <v>0</v>
      </c>
      <c r="S26" s="204">
        <v>0</v>
      </c>
      <c r="T26" s="204">
        <v>0</v>
      </c>
      <c r="U26" s="204">
        <f t="shared" si="0"/>
        <v>1976725</v>
      </c>
    </row>
    <row r="27" spans="3:21" ht="14.1" customHeight="1" x14ac:dyDescent="0.25">
      <c r="C27" s="516">
        <v>23</v>
      </c>
      <c r="D27" s="147" t="s">
        <v>263</v>
      </c>
      <c r="E27" s="204">
        <v>0</v>
      </c>
      <c r="F27" s="204">
        <v>0</v>
      </c>
      <c r="G27" s="204">
        <v>469625</v>
      </c>
      <c r="H27" s="204">
        <v>1011400</v>
      </c>
      <c r="I27" s="204">
        <v>375700</v>
      </c>
      <c r="J27" s="204">
        <v>0</v>
      </c>
      <c r="K27" s="204"/>
      <c r="L27" s="204"/>
      <c r="M27" s="204"/>
      <c r="N27" s="204"/>
      <c r="O27" s="204"/>
      <c r="P27" s="204">
        <v>0</v>
      </c>
      <c r="Q27" s="204">
        <v>120000</v>
      </c>
      <c r="R27" s="204">
        <v>0</v>
      </c>
      <c r="S27" s="204">
        <v>0</v>
      </c>
      <c r="T27" s="204">
        <v>0</v>
      </c>
      <c r="U27" s="204">
        <f t="shared" si="0"/>
        <v>1976725</v>
      </c>
    </row>
    <row r="28" spans="3:21" ht="14.1" customHeight="1" x14ac:dyDescent="0.25">
      <c r="C28" s="516">
        <v>24</v>
      </c>
      <c r="D28" s="147" t="s">
        <v>264</v>
      </c>
      <c r="E28" s="204">
        <v>0</v>
      </c>
      <c r="F28" s="204">
        <v>0</v>
      </c>
      <c r="G28" s="204">
        <v>469625</v>
      </c>
      <c r="H28" s="204">
        <v>1011400</v>
      </c>
      <c r="I28" s="204">
        <v>375700</v>
      </c>
      <c r="J28" s="204">
        <v>0</v>
      </c>
      <c r="K28" s="204"/>
      <c r="L28" s="204"/>
      <c r="M28" s="204"/>
      <c r="N28" s="204"/>
      <c r="O28" s="204"/>
      <c r="P28" s="204">
        <v>0</v>
      </c>
      <c r="Q28" s="204">
        <v>120000</v>
      </c>
      <c r="R28" s="204">
        <v>0</v>
      </c>
      <c r="S28" s="204">
        <v>0</v>
      </c>
      <c r="T28" s="204">
        <v>0</v>
      </c>
      <c r="U28" s="204">
        <f t="shared" si="0"/>
        <v>1976725</v>
      </c>
    </row>
    <row r="29" spans="3:21" ht="14.1" customHeight="1" x14ac:dyDescent="0.25">
      <c r="C29" s="516">
        <v>25</v>
      </c>
      <c r="D29" s="147" t="s">
        <v>265</v>
      </c>
      <c r="E29" s="204">
        <v>555600</v>
      </c>
      <c r="F29" s="204">
        <v>4320000</v>
      </c>
      <c r="G29" s="204">
        <v>939250</v>
      </c>
      <c r="H29" s="204">
        <v>2022800</v>
      </c>
      <c r="I29" s="204">
        <v>1502800</v>
      </c>
      <c r="J29" s="204">
        <v>98000000</v>
      </c>
      <c r="K29" s="204">
        <v>2500000</v>
      </c>
      <c r="L29" s="204">
        <v>3412140</v>
      </c>
      <c r="M29" s="204">
        <v>33400000</v>
      </c>
      <c r="N29" s="204">
        <v>3200000</v>
      </c>
      <c r="O29" s="204">
        <v>4000000</v>
      </c>
      <c r="P29" s="204">
        <v>0</v>
      </c>
      <c r="Q29" s="204"/>
      <c r="R29" s="204">
        <v>0</v>
      </c>
      <c r="S29" s="204">
        <v>0</v>
      </c>
      <c r="T29" s="204">
        <v>38000000</v>
      </c>
      <c r="U29" s="204">
        <f t="shared" si="0"/>
        <v>191852590</v>
      </c>
    </row>
    <row r="30" spans="3:21" ht="14.1" customHeight="1" x14ac:dyDescent="0.25">
      <c r="C30" s="516">
        <v>26</v>
      </c>
      <c r="D30" s="147" t="s">
        <v>266</v>
      </c>
      <c r="E30" s="204">
        <v>0</v>
      </c>
      <c r="F30" s="204">
        <v>0</v>
      </c>
      <c r="G30" s="204">
        <v>469625</v>
      </c>
      <c r="H30" s="204">
        <v>1011400</v>
      </c>
      <c r="I30" s="204">
        <v>375700</v>
      </c>
      <c r="J30" s="204">
        <v>0</v>
      </c>
      <c r="K30" s="204"/>
      <c r="L30" s="204"/>
      <c r="M30" s="204"/>
      <c r="N30" s="204"/>
      <c r="O30" s="204"/>
      <c r="P30" s="204">
        <v>0</v>
      </c>
      <c r="Q30" s="204">
        <v>120000</v>
      </c>
      <c r="R30" s="204">
        <v>0</v>
      </c>
      <c r="S30" s="204">
        <v>0</v>
      </c>
      <c r="T30" s="204">
        <v>0</v>
      </c>
      <c r="U30" s="204">
        <f t="shared" si="0"/>
        <v>1976725</v>
      </c>
    </row>
    <row r="31" spans="3:21" ht="14.1" customHeight="1" x14ac:dyDescent="0.25">
      <c r="C31" s="516">
        <v>27</v>
      </c>
      <c r="D31" s="147" t="s">
        <v>267</v>
      </c>
      <c r="E31" s="204">
        <v>0</v>
      </c>
      <c r="F31" s="204">
        <v>0</v>
      </c>
      <c r="G31" s="204">
        <v>469625</v>
      </c>
      <c r="H31" s="204">
        <v>1011400</v>
      </c>
      <c r="I31" s="204">
        <v>375700</v>
      </c>
      <c r="J31" s="204">
        <v>0</v>
      </c>
      <c r="K31" s="204"/>
      <c r="L31" s="204"/>
      <c r="M31" s="204"/>
      <c r="N31" s="204"/>
      <c r="O31" s="204"/>
      <c r="P31" s="204">
        <v>0</v>
      </c>
      <c r="Q31" s="204">
        <v>120000</v>
      </c>
      <c r="R31" s="204">
        <v>2860000</v>
      </c>
      <c r="S31" s="204">
        <v>1950000</v>
      </c>
      <c r="T31" s="204">
        <v>0</v>
      </c>
      <c r="U31" s="204">
        <f t="shared" si="0"/>
        <v>6786725</v>
      </c>
    </row>
    <row r="32" spans="3:21" ht="14.1" customHeight="1" x14ac:dyDescent="0.25">
      <c r="C32" s="516">
        <v>28</v>
      </c>
      <c r="D32" s="147" t="s">
        <v>268</v>
      </c>
      <c r="E32" s="204">
        <v>0</v>
      </c>
      <c r="F32" s="204">
        <v>0</v>
      </c>
      <c r="G32" s="204">
        <v>469625</v>
      </c>
      <c r="H32" s="204">
        <v>1011400</v>
      </c>
      <c r="I32" s="204">
        <v>375700</v>
      </c>
      <c r="J32" s="204">
        <v>0</v>
      </c>
      <c r="K32" s="204"/>
      <c r="L32" s="204"/>
      <c r="M32" s="204"/>
      <c r="N32" s="204"/>
      <c r="O32" s="204"/>
      <c r="P32" s="204">
        <v>0</v>
      </c>
      <c r="Q32" s="204">
        <v>120000</v>
      </c>
      <c r="R32" s="204">
        <v>2860000</v>
      </c>
      <c r="S32" s="204">
        <v>1950000</v>
      </c>
      <c r="T32" s="204">
        <v>0</v>
      </c>
      <c r="U32" s="204">
        <f t="shared" si="0"/>
        <v>6786725</v>
      </c>
    </row>
    <row r="33" spans="3:21" ht="14.1" customHeight="1" x14ac:dyDescent="0.25">
      <c r="C33" s="516">
        <v>29</v>
      </c>
      <c r="D33" s="147" t="s">
        <v>269</v>
      </c>
      <c r="E33" s="204">
        <v>0</v>
      </c>
      <c r="F33" s="204">
        <v>0</v>
      </c>
      <c r="G33" s="204">
        <v>469625</v>
      </c>
      <c r="H33" s="204">
        <v>1011400</v>
      </c>
      <c r="I33" s="204">
        <v>375700</v>
      </c>
      <c r="J33" s="204">
        <v>0</v>
      </c>
      <c r="K33" s="204"/>
      <c r="L33" s="204"/>
      <c r="M33" s="204"/>
      <c r="N33" s="204"/>
      <c r="O33" s="204"/>
      <c r="P33" s="204">
        <v>0</v>
      </c>
      <c r="Q33" s="204">
        <v>120000</v>
      </c>
      <c r="R33" s="204">
        <v>0</v>
      </c>
      <c r="S33" s="204">
        <v>0</v>
      </c>
      <c r="T33" s="204">
        <v>0</v>
      </c>
      <c r="U33" s="204">
        <f t="shared" si="0"/>
        <v>1976725</v>
      </c>
    </row>
    <row r="34" spans="3:21" ht="14.1" customHeight="1" x14ac:dyDescent="0.25">
      <c r="C34" s="516">
        <v>30</v>
      </c>
      <c r="D34" s="147" t="s">
        <v>270</v>
      </c>
      <c r="E34" s="204">
        <v>0</v>
      </c>
      <c r="F34" s="204">
        <v>0</v>
      </c>
      <c r="G34" s="204">
        <v>469625</v>
      </c>
      <c r="H34" s="204">
        <v>1011400</v>
      </c>
      <c r="I34" s="204">
        <v>375700</v>
      </c>
      <c r="J34" s="204">
        <v>0</v>
      </c>
      <c r="K34" s="204"/>
      <c r="L34" s="204"/>
      <c r="M34" s="204"/>
      <c r="N34" s="204"/>
      <c r="O34" s="204"/>
      <c r="P34" s="204">
        <v>0</v>
      </c>
      <c r="Q34" s="204">
        <v>120000</v>
      </c>
      <c r="R34" s="204">
        <v>0</v>
      </c>
      <c r="S34" s="204">
        <v>0</v>
      </c>
      <c r="T34" s="204">
        <v>0</v>
      </c>
      <c r="U34" s="204">
        <f t="shared" si="0"/>
        <v>1976725</v>
      </c>
    </row>
    <row r="35" spans="3:21" ht="14.1" customHeight="1" x14ac:dyDescent="0.25">
      <c r="C35" s="516">
        <v>31</v>
      </c>
      <c r="D35" s="147" t="s">
        <v>271</v>
      </c>
      <c r="E35" s="204">
        <v>0</v>
      </c>
      <c r="F35" s="204">
        <v>0</v>
      </c>
      <c r="G35" s="204">
        <v>469625</v>
      </c>
      <c r="H35" s="204">
        <v>1011400</v>
      </c>
      <c r="I35" s="204">
        <v>375700</v>
      </c>
      <c r="J35" s="204">
        <v>0</v>
      </c>
      <c r="K35" s="204"/>
      <c r="L35" s="204"/>
      <c r="M35" s="204"/>
      <c r="N35" s="204"/>
      <c r="O35" s="204"/>
      <c r="P35" s="204">
        <v>0</v>
      </c>
      <c r="Q35" s="204">
        <v>120000</v>
      </c>
      <c r="R35" s="204">
        <v>0</v>
      </c>
      <c r="S35" s="204">
        <v>0</v>
      </c>
      <c r="T35" s="204">
        <v>0</v>
      </c>
      <c r="U35" s="204">
        <f t="shared" si="0"/>
        <v>1976725</v>
      </c>
    </row>
    <row r="36" spans="3:21" ht="14.1" customHeight="1" x14ac:dyDescent="0.25">
      <c r="C36" s="516">
        <v>32</v>
      </c>
      <c r="D36" s="147" t="s">
        <v>272</v>
      </c>
      <c r="E36" s="204">
        <v>0</v>
      </c>
      <c r="F36" s="345">
        <v>0</v>
      </c>
      <c r="G36" s="204">
        <v>469625</v>
      </c>
      <c r="H36" s="204">
        <v>1011400</v>
      </c>
      <c r="I36" s="204">
        <v>375700</v>
      </c>
      <c r="J36" s="204">
        <v>0</v>
      </c>
      <c r="K36" s="204"/>
      <c r="L36" s="204"/>
      <c r="M36" s="204"/>
      <c r="N36" s="204"/>
      <c r="O36" s="204"/>
      <c r="P36" s="204">
        <v>0</v>
      </c>
      <c r="Q36" s="204">
        <v>120000</v>
      </c>
      <c r="R36" s="204">
        <v>0</v>
      </c>
      <c r="S36" s="204">
        <v>0</v>
      </c>
      <c r="T36" s="204">
        <v>0</v>
      </c>
      <c r="U36" s="204">
        <f t="shared" si="0"/>
        <v>1976725</v>
      </c>
    </row>
    <row r="37" spans="3:21" ht="14.1" customHeight="1" x14ac:dyDescent="0.25">
      <c r="C37" s="516">
        <v>33</v>
      </c>
      <c r="D37" s="147" t="s">
        <v>273</v>
      </c>
      <c r="E37" s="204">
        <v>0</v>
      </c>
      <c r="F37" s="204">
        <v>0</v>
      </c>
      <c r="G37" s="204">
        <v>469625</v>
      </c>
      <c r="H37" s="204">
        <v>1011400</v>
      </c>
      <c r="I37" s="204">
        <v>375700</v>
      </c>
      <c r="J37" s="204">
        <v>0</v>
      </c>
      <c r="K37" s="204"/>
      <c r="L37" s="204"/>
      <c r="M37" s="204"/>
      <c r="N37" s="204"/>
      <c r="O37" s="204"/>
      <c r="P37" s="204">
        <v>0</v>
      </c>
      <c r="Q37" s="204">
        <v>120000</v>
      </c>
      <c r="R37" s="204">
        <v>2860000</v>
      </c>
      <c r="S37" s="204">
        <v>0</v>
      </c>
      <c r="T37" s="204">
        <v>0</v>
      </c>
      <c r="U37" s="204">
        <f t="shared" si="0"/>
        <v>4836725</v>
      </c>
    </row>
    <row r="38" spans="3:21" ht="14.1" customHeight="1" x14ac:dyDescent="0.25">
      <c r="C38" s="516">
        <v>34</v>
      </c>
      <c r="D38" s="147" t="s">
        <v>274</v>
      </c>
      <c r="E38" s="204">
        <v>0</v>
      </c>
      <c r="F38" s="204">
        <v>0</v>
      </c>
      <c r="G38" s="204">
        <v>469625</v>
      </c>
      <c r="H38" s="204">
        <v>1011400</v>
      </c>
      <c r="I38" s="204">
        <v>375700</v>
      </c>
      <c r="J38" s="204">
        <v>0</v>
      </c>
      <c r="K38" s="204"/>
      <c r="L38" s="204"/>
      <c r="M38" s="204"/>
      <c r="N38" s="204"/>
      <c r="O38" s="204"/>
      <c r="P38" s="204">
        <v>0</v>
      </c>
      <c r="Q38" s="204">
        <v>120000</v>
      </c>
      <c r="R38" s="204">
        <v>0</v>
      </c>
      <c r="S38" s="204">
        <v>0</v>
      </c>
      <c r="T38" s="204">
        <v>0</v>
      </c>
      <c r="U38" s="204">
        <f t="shared" si="0"/>
        <v>1976725</v>
      </c>
    </row>
    <row r="39" spans="3:21" ht="14.1" customHeight="1" x14ac:dyDescent="0.25">
      <c r="C39" s="516">
        <v>35</v>
      </c>
      <c r="D39" s="147" t="s">
        <v>275</v>
      </c>
      <c r="E39" s="204">
        <v>0</v>
      </c>
      <c r="F39" s="204">
        <v>0</v>
      </c>
      <c r="G39" s="204">
        <v>469625</v>
      </c>
      <c r="H39" s="204">
        <v>1011400</v>
      </c>
      <c r="I39" s="204">
        <v>375700</v>
      </c>
      <c r="J39" s="204">
        <v>0</v>
      </c>
      <c r="K39" s="204"/>
      <c r="L39" s="204"/>
      <c r="M39" s="204"/>
      <c r="N39" s="204"/>
      <c r="O39" s="204"/>
      <c r="P39" s="204">
        <v>0</v>
      </c>
      <c r="Q39" s="204">
        <v>120000</v>
      </c>
      <c r="R39" s="204">
        <v>0</v>
      </c>
      <c r="S39" s="204">
        <v>0</v>
      </c>
      <c r="T39" s="204">
        <v>0</v>
      </c>
      <c r="U39" s="204">
        <f t="shared" si="0"/>
        <v>1976725</v>
      </c>
    </row>
    <row r="40" spans="3:21" ht="14.1" customHeight="1" x14ac:dyDescent="0.25">
      <c r="C40" s="516">
        <v>36</v>
      </c>
      <c r="D40" s="147" t="s">
        <v>276</v>
      </c>
      <c r="E40" s="204">
        <v>555600</v>
      </c>
      <c r="F40" s="204">
        <v>4320000</v>
      </c>
      <c r="G40" s="204">
        <v>939250</v>
      </c>
      <c r="H40" s="204">
        <v>2022800</v>
      </c>
      <c r="I40" s="204">
        <v>1502800</v>
      </c>
      <c r="J40" s="204">
        <v>0</v>
      </c>
      <c r="K40" s="204">
        <v>2500000</v>
      </c>
      <c r="L40" s="204">
        <v>3412140</v>
      </c>
      <c r="M40" s="204">
        <v>33400000</v>
      </c>
      <c r="N40" s="204">
        <v>3200000</v>
      </c>
      <c r="O40" s="204">
        <v>2250000</v>
      </c>
      <c r="P40" s="204">
        <v>58000000</v>
      </c>
      <c r="Q40" s="204">
        <v>360000</v>
      </c>
      <c r="R40" s="204">
        <v>5720000</v>
      </c>
      <c r="S40" s="204">
        <v>3900000</v>
      </c>
      <c r="T40" s="204">
        <v>38000000</v>
      </c>
      <c r="U40" s="204">
        <f t="shared" si="0"/>
        <v>160082590</v>
      </c>
    </row>
    <row r="41" spans="3:21" ht="14.1" customHeight="1" x14ac:dyDescent="0.25">
      <c r="C41" s="516">
        <v>37</v>
      </c>
      <c r="D41" s="147" t="s">
        <v>277</v>
      </c>
      <c r="E41" s="204">
        <v>555600</v>
      </c>
      <c r="F41" s="204">
        <v>4320000</v>
      </c>
      <c r="G41" s="204">
        <v>939250</v>
      </c>
      <c r="H41" s="204">
        <v>2022800</v>
      </c>
      <c r="I41" s="204">
        <v>1502800</v>
      </c>
      <c r="J41" s="204">
        <v>0</v>
      </c>
      <c r="K41" s="204">
        <v>2500000</v>
      </c>
      <c r="L41" s="204">
        <v>3412140</v>
      </c>
      <c r="M41" s="204">
        <v>33400000</v>
      </c>
      <c r="N41" s="204">
        <v>3200000</v>
      </c>
      <c r="O41" s="204">
        <v>2250000</v>
      </c>
      <c r="P41" s="204">
        <v>58000000</v>
      </c>
      <c r="Q41" s="204">
        <v>360000</v>
      </c>
      <c r="R41" s="204">
        <v>5720000</v>
      </c>
      <c r="S41" s="204">
        <v>3900000</v>
      </c>
      <c r="T41" s="204">
        <v>38000000</v>
      </c>
      <c r="U41" s="204">
        <f t="shared" si="0"/>
        <v>160082590</v>
      </c>
    </row>
    <row r="42" spans="3:21" ht="14.1" customHeight="1" x14ac:dyDescent="0.25">
      <c r="C42" s="516">
        <v>38</v>
      </c>
      <c r="D42" s="147" t="s">
        <v>278</v>
      </c>
      <c r="E42" s="204">
        <v>555600</v>
      </c>
      <c r="F42" s="204">
        <v>4320000</v>
      </c>
      <c r="G42" s="204">
        <v>939250</v>
      </c>
      <c r="H42" s="204">
        <v>2022800</v>
      </c>
      <c r="I42" s="204">
        <v>1502800</v>
      </c>
      <c r="J42" s="204">
        <v>0</v>
      </c>
      <c r="K42" s="204">
        <v>2500000</v>
      </c>
      <c r="L42" s="204">
        <v>3412140</v>
      </c>
      <c r="M42" s="204">
        <v>33400000</v>
      </c>
      <c r="N42" s="204">
        <v>3200000</v>
      </c>
      <c r="O42" s="204">
        <v>2250000</v>
      </c>
      <c r="P42" s="204">
        <v>58000000</v>
      </c>
      <c r="Q42" s="204">
        <v>360000</v>
      </c>
      <c r="R42" s="204">
        <v>5720000</v>
      </c>
      <c r="S42" s="204">
        <v>3900000</v>
      </c>
      <c r="T42" s="204">
        <v>38000000</v>
      </c>
      <c r="U42" s="204">
        <f t="shared" si="0"/>
        <v>160082590</v>
      </c>
    </row>
    <row r="43" spans="3:21" ht="14.1" customHeight="1" x14ac:dyDescent="0.25">
      <c r="C43" s="516">
        <v>39</v>
      </c>
      <c r="D43" s="147" t="s">
        <v>279</v>
      </c>
      <c r="E43" s="204">
        <v>0</v>
      </c>
      <c r="F43" s="204">
        <v>0</v>
      </c>
      <c r="G43" s="204">
        <v>469625</v>
      </c>
      <c r="H43" s="204">
        <v>1011400</v>
      </c>
      <c r="I43" s="204">
        <v>375700</v>
      </c>
      <c r="J43" s="204">
        <v>0</v>
      </c>
      <c r="K43" s="204"/>
      <c r="L43" s="204"/>
      <c r="M43" s="204"/>
      <c r="N43" s="204"/>
      <c r="O43" s="204"/>
      <c r="P43" s="204">
        <v>0</v>
      </c>
      <c r="Q43" s="204"/>
      <c r="R43" s="204">
        <v>0</v>
      </c>
      <c r="S43" s="204">
        <v>0</v>
      </c>
      <c r="T43" s="204">
        <v>0</v>
      </c>
      <c r="U43" s="204">
        <f t="shared" si="0"/>
        <v>1856725</v>
      </c>
    </row>
    <row r="44" spans="3:21" ht="14.1" customHeight="1" x14ac:dyDescent="0.25">
      <c r="C44" s="516">
        <v>40</v>
      </c>
      <c r="D44" s="147" t="s">
        <v>280</v>
      </c>
      <c r="E44" s="204">
        <v>0</v>
      </c>
      <c r="F44" s="204">
        <v>0</v>
      </c>
      <c r="G44" s="204"/>
      <c r="H44" s="204">
        <v>0</v>
      </c>
      <c r="I44" s="204"/>
      <c r="J44" s="204">
        <v>0</v>
      </c>
      <c r="K44" s="204"/>
      <c r="L44" s="204"/>
      <c r="M44" s="204"/>
      <c r="N44" s="204"/>
      <c r="O44" s="204"/>
      <c r="P44" s="204">
        <v>0</v>
      </c>
      <c r="Q44" s="204">
        <v>120000</v>
      </c>
      <c r="R44" s="204">
        <v>2860000</v>
      </c>
      <c r="S44" s="204">
        <v>1950000</v>
      </c>
      <c r="T44" s="204">
        <v>0</v>
      </c>
      <c r="U44" s="204">
        <f t="shared" si="0"/>
        <v>4930000</v>
      </c>
    </row>
    <row r="45" spans="3:21" ht="14.1" customHeight="1" x14ac:dyDescent="0.25">
      <c r="C45" s="872" t="s">
        <v>297</v>
      </c>
      <c r="D45" s="872"/>
      <c r="E45" s="196">
        <f>SUM(E5:E44)</f>
        <v>3333600</v>
      </c>
      <c r="F45" s="196">
        <f t="shared" ref="F45:T45" si="1">SUM(F5:F44)</f>
        <v>25920000</v>
      </c>
      <c r="G45" s="196">
        <f t="shared" si="1"/>
        <v>21133125</v>
      </c>
      <c r="H45" s="196">
        <f t="shared" si="1"/>
        <v>45513000</v>
      </c>
      <c r="I45" s="196">
        <f t="shared" si="1"/>
        <v>21790600</v>
      </c>
      <c r="J45" s="196">
        <f t="shared" si="1"/>
        <v>294000000</v>
      </c>
      <c r="K45" s="196">
        <f t="shared" si="1"/>
        <v>15000000</v>
      </c>
      <c r="L45" s="196">
        <f t="shared" ref="L45" si="2">SUM(L5:L44)</f>
        <v>20472840</v>
      </c>
      <c r="M45" s="196">
        <f t="shared" si="1"/>
        <v>200400000</v>
      </c>
      <c r="N45" s="196">
        <f t="shared" si="1"/>
        <v>19200000</v>
      </c>
      <c r="O45" s="196">
        <f t="shared" si="1"/>
        <v>15250000</v>
      </c>
      <c r="P45" s="196">
        <f t="shared" ref="P45:S45" si="3">SUM(P5:P44)</f>
        <v>290000000</v>
      </c>
      <c r="Q45" s="196">
        <f t="shared" ref="Q45:R45" si="4">SUM(Q5:Q44)</f>
        <v>5160000</v>
      </c>
      <c r="R45" s="196">
        <f t="shared" si="4"/>
        <v>57200000</v>
      </c>
      <c r="S45" s="196">
        <f t="shared" si="3"/>
        <v>19500000</v>
      </c>
      <c r="T45" s="196">
        <f t="shared" si="1"/>
        <v>190000000</v>
      </c>
      <c r="U45" s="196">
        <f>SUM(U5:U44)</f>
        <v>1243873165</v>
      </c>
    </row>
    <row r="46" spans="3:21" ht="14.1" customHeight="1" x14ac:dyDescent="0.25">
      <c r="C46" s="867" t="s">
        <v>282</v>
      </c>
      <c r="D46" s="867"/>
      <c r="E46" s="196">
        <f>E45*0.16</f>
        <v>533376</v>
      </c>
      <c r="F46" s="196">
        <f t="shared" ref="F46:U46" si="5">F45*0.16</f>
        <v>4147200</v>
      </c>
      <c r="G46" s="196">
        <f t="shared" si="5"/>
        <v>3381300</v>
      </c>
      <c r="H46" s="196">
        <f t="shared" si="5"/>
        <v>7282080</v>
      </c>
      <c r="I46" s="196">
        <f t="shared" si="5"/>
        <v>3486496</v>
      </c>
      <c r="J46" s="196">
        <f t="shared" si="5"/>
        <v>47040000</v>
      </c>
      <c r="K46" s="196">
        <f t="shared" si="5"/>
        <v>2400000</v>
      </c>
      <c r="L46" s="196">
        <f t="shared" ref="L46" si="6">L45*0.16</f>
        <v>3275654.4</v>
      </c>
      <c r="M46" s="196">
        <f t="shared" si="5"/>
        <v>32064000</v>
      </c>
      <c r="N46" s="196">
        <f t="shared" si="5"/>
        <v>3072000</v>
      </c>
      <c r="O46" s="196">
        <f t="shared" si="5"/>
        <v>2440000</v>
      </c>
      <c r="P46" s="196">
        <f t="shared" ref="P46:S46" si="7">P45*0.16</f>
        <v>46400000</v>
      </c>
      <c r="Q46" s="196">
        <f t="shared" ref="Q46:R46" si="8">Q45*0.16</f>
        <v>825600</v>
      </c>
      <c r="R46" s="196">
        <f t="shared" si="8"/>
        <v>9152000</v>
      </c>
      <c r="S46" s="196">
        <f t="shared" si="7"/>
        <v>3120000</v>
      </c>
      <c r="T46" s="196">
        <f t="shared" si="5"/>
        <v>30400000</v>
      </c>
      <c r="U46" s="196">
        <f t="shared" si="5"/>
        <v>199019706.40000001</v>
      </c>
    </row>
    <row r="47" spans="3:21" ht="14.1" customHeight="1" x14ac:dyDescent="0.25">
      <c r="C47" s="867" t="s">
        <v>298</v>
      </c>
      <c r="D47" s="867"/>
      <c r="E47" s="196">
        <f>SUM(E45:E46)</f>
        <v>3866976</v>
      </c>
      <c r="F47" s="196">
        <f t="shared" ref="F47:U47" si="9">SUM(F45:F46)</f>
        <v>30067200</v>
      </c>
      <c r="G47" s="196">
        <f t="shared" si="9"/>
        <v>24514425</v>
      </c>
      <c r="H47" s="196">
        <f t="shared" si="9"/>
        <v>52795080</v>
      </c>
      <c r="I47" s="196">
        <f t="shared" si="9"/>
        <v>25277096</v>
      </c>
      <c r="J47" s="196">
        <f t="shared" si="9"/>
        <v>341040000</v>
      </c>
      <c r="K47" s="196">
        <f t="shared" si="9"/>
        <v>17400000</v>
      </c>
      <c r="L47" s="196">
        <f t="shared" ref="L47" si="10">SUM(L45:L46)</f>
        <v>23748494.399999999</v>
      </c>
      <c r="M47" s="196">
        <f t="shared" si="9"/>
        <v>232464000</v>
      </c>
      <c r="N47" s="196">
        <f t="shared" si="9"/>
        <v>22272000</v>
      </c>
      <c r="O47" s="196">
        <f t="shared" si="9"/>
        <v>17690000</v>
      </c>
      <c r="P47" s="196">
        <f t="shared" ref="P47:S47" si="11">SUM(P45:P46)</f>
        <v>336400000</v>
      </c>
      <c r="Q47" s="196">
        <f t="shared" ref="Q47:R47" si="12">SUM(Q45:Q46)</f>
        <v>5985600</v>
      </c>
      <c r="R47" s="196">
        <f t="shared" si="12"/>
        <v>66352000</v>
      </c>
      <c r="S47" s="196">
        <f t="shared" si="11"/>
        <v>22620000</v>
      </c>
      <c r="T47" s="196">
        <f t="shared" si="9"/>
        <v>220400000</v>
      </c>
      <c r="U47" s="196">
        <f t="shared" si="9"/>
        <v>1442892871.4000001</v>
      </c>
    </row>
  </sheetData>
  <mergeCells count="4">
    <mergeCell ref="C3:U3"/>
    <mergeCell ref="C45:D45"/>
    <mergeCell ref="C46:D46"/>
    <mergeCell ref="C47:D47"/>
  </mergeCells>
  <pageMargins left="0.7" right="0.7" top="0.75" bottom="0.75" header="0.3" footer="0.3"/>
  <pageSetup paperSize="5" scale="7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rgb="FF00B0F0"/>
  </sheetPr>
  <dimension ref="C3:V47"/>
  <sheetViews>
    <sheetView view="pageLayout" topLeftCell="D1" zoomScale="90" zoomScaleNormal="100" zoomScalePageLayoutView="90" workbookViewId="0">
      <selection activeCell="H10" sqref="H10"/>
    </sheetView>
  </sheetViews>
  <sheetFormatPr baseColWidth="10" defaultRowHeight="12" x14ac:dyDescent="0.25"/>
  <cols>
    <col min="1" max="2" width="11.42578125" style="178"/>
    <col min="3" max="3" width="3.5703125" style="178" bestFit="1" customWidth="1"/>
    <col min="4" max="4" width="20.140625" style="178" customWidth="1"/>
    <col min="5" max="5" width="9.140625" style="178" customWidth="1"/>
    <col min="6" max="6" width="9.7109375" style="178" customWidth="1"/>
    <col min="7" max="7" width="8.85546875" style="178" customWidth="1"/>
    <col min="8" max="8" width="10" style="178" customWidth="1"/>
    <col min="9" max="9" width="9" style="178" customWidth="1"/>
    <col min="10" max="10" width="9.28515625" style="178" customWidth="1"/>
    <col min="11" max="11" width="10.5703125" style="178" customWidth="1"/>
    <col min="12" max="12" width="8.85546875" style="178" customWidth="1"/>
    <col min="13" max="14" width="9.28515625" style="178" customWidth="1"/>
    <col min="15" max="20" width="10.5703125" style="178" customWidth="1"/>
    <col min="21" max="21" width="11.42578125" style="191" customWidth="1"/>
    <col min="22" max="22" width="12.42578125" style="178" bestFit="1" customWidth="1"/>
    <col min="23" max="16384" width="11.42578125" style="178"/>
  </cols>
  <sheetData>
    <row r="3" spans="3:22" x14ac:dyDescent="0.25">
      <c r="C3" s="867" t="s">
        <v>1403</v>
      </c>
      <c r="D3" s="867"/>
      <c r="E3" s="867"/>
      <c r="F3" s="867"/>
      <c r="G3" s="867"/>
      <c r="H3" s="867"/>
      <c r="I3" s="867"/>
      <c r="J3" s="867"/>
      <c r="K3" s="867"/>
      <c r="L3" s="867"/>
      <c r="M3" s="867"/>
      <c r="N3" s="867"/>
      <c r="O3" s="867"/>
      <c r="P3" s="867"/>
      <c r="Q3" s="867"/>
      <c r="R3" s="867"/>
      <c r="S3" s="867"/>
      <c r="T3" s="867"/>
      <c r="U3" s="867"/>
      <c r="V3" s="191"/>
    </row>
    <row r="4" spans="3:22" ht="93" customHeight="1" x14ac:dyDescent="0.25">
      <c r="C4" s="511" t="s">
        <v>472</v>
      </c>
      <c r="D4" s="513" t="s">
        <v>287</v>
      </c>
      <c r="E4" s="405" t="s">
        <v>1466</v>
      </c>
      <c r="F4" s="405" t="s">
        <v>1467</v>
      </c>
      <c r="G4" s="405" t="s">
        <v>1468</v>
      </c>
      <c r="H4" s="405" t="s">
        <v>1469</v>
      </c>
      <c r="I4" s="405" t="s">
        <v>1487</v>
      </c>
      <c r="J4" s="405" t="s">
        <v>1488</v>
      </c>
      <c r="K4" s="409" t="s">
        <v>1627</v>
      </c>
      <c r="L4" s="405" t="s">
        <v>1490</v>
      </c>
      <c r="M4" s="405" t="s">
        <v>1491</v>
      </c>
      <c r="N4" s="405" t="s">
        <v>1492</v>
      </c>
      <c r="O4" s="405" t="s">
        <v>1494</v>
      </c>
      <c r="P4" s="409" t="s">
        <v>1497</v>
      </c>
      <c r="Q4" s="409" t="s">
        <v>1499</v>
      </c>
      <c r="R4" s="409" t="s">
        <v>1514</v>
      </c>
      <c r="S4" s="409" t="s">
        <v>1611</v>
      </c>
      <c r="T4" s="409" t="s">
        <v>1612</v>
      </c>
      <c r="U4" s="515" t="s">
        <v>298</v>
      </c>
      <c r="V4" s="191"/>
    </row>
    <row r="5" spans="3:22" ht="14.1" customHeight="1" x14ac:dyDescent="0.25">
      <c r="C5" s="516">
        <v>1</v>
      </c>
      <c r="D5" s="147" t="s">
        <v>241</v>
      </c>
      <c r="E5" s="204"/>
      <c r="F5" s="204"/>
      <c r="G5" s="204"/>
      <c r="H5" s="204"/>
      <c r="I5" s="204"/>
      <c r="J5" s="204">
        <v>0</v>
      </c>
      <c r="K5" s="204">
        <v>0</v>
      </c>
      <c r="L5" s="204">
        <v>0</v>
      </c>
      <c r="M5" s="204">
        <v>0</v>
      </c>
      <c r="N5" s="204">
        <v>0</v>
      </c>
      <c r="O5" s="204">
        <v>3760250</v>
      </c>
      <c r="P5" s="204">
        <v>25676</v>
      </c>
      <c r="Q5" s="204">
        <v>81250</v>
      </c>
      <c r="R5" s="204">
        <v>0</v>
      </c>
      <c r="S5" s="204">
        <v>0</v>
      </c>
      <c r="T5" s="204">
        <v>0</v>
      </c>
      <c r="U5" s="204">
        <f t="shared" ref="U5:U44" si="0">SUM(E5:T5)</f>
        <v>3867176</v>
      </c>
      <c r="V5" s="191"/>
    </row>
    <row r="6" spans="3:22" ht="14.1" customHeight="1" x14ac:dyDescent="0.25">
      <c r="C6" s="516">
        <v>2</v>
      </c>
      <c r="D6" s="147" t="s">
        <v>242</v>
      </c>
      <c r="E6" s="204">
        <v>380000</v>
      </c>
      <c r="F6" s="204">
        <v>286000</v>
      </c>
      <c r="G6" s="204">
        <v>480000</v>
      </c>
      <c r="H6" s="204">
        <v>118000</v>
      </c>
      <c r="I6" s="204">
        <v>846000</v>
      </c>
      <c r="J6" s="204">
        <v>767000</v>
      </c>
      <c r="K6" s="204">
        <v>24473280</v>
      </c>
      <c r="L6" s="204">
        <v>957600</v>
      </c>
      <c r="M6" s="204">
        <v>957600</v>
      </c>
      <c r="N6" s="204">
        <v>718200</v>
      </c>
      <c r="O6" s="204">
        <v>3760250</v>
      </c>
      <c r="P6" s="204">
        <v>51352</v>
      </c>
      <c r="Q6" s="204">
        <v>162500</v>
      </c>
      <c r="R6" s="204">
        <v>18400000</v>
      </c>
      <c r="S6" s="204">
        <v>7326000</v>
      </c>
      <c r="T6" s="204">
        <v>708180</v>
      </c>
      <c r="U6" s="204">
        <f t="shared" si="0"/>
        <v>60391962</v>
      </c>
      <c r="V6" s="191"/>
    </row>
    <row r="7" spans="3:22" ht="14.1" customHeight="1" x14ac:dyDescent="0.25">
      <c r="C7" s="516">
        <v>3</v>
      </c>
      <c r="D7" s="147" t="s">
        <v>243</v>
      </c>
      <c r="E7" s="204"/>
      <c r="F7" s="204"/>
      <c r="G7" s="204"/>
      <c r="H7" s="204"/>
      <c r="I7" s="204"/>
      <c r="J7" s="204">
        <v>0</v>
      </c>
      <c r="K7" s="204">
        <v>0</v>
      </c>
      <c r="L7" s="204">
        <v>0</v>
      </c>
      <c r="M7" s="204">
        <v>0</v>
      </c>
      <c r="N7" s="204">
        <v>0</v>
      </c>
      <c r="O7" s="204">
        <v>3760250</v>
      </c>
      <c r="P7" s="204">
        <v>25676</v>
      </c>
      <c r="Q7" s="204">
        <v>81250</v>
      </c>
      <c r="R7" s="204">
        <v>0</v>
      </c>
      <c r="S7" s="204">
        <v>0</v>
      </c>
      <c r="T7" s="204">
        <v>0</v>
      </c>
      <c r="U7" s="204">
        <f t="shared" si="0"/>
        <v>3867176</v>
      </c>
      <c r="V7" s="191"/>
    </row>
    <row r="8" spans="3:22" ht="14.1" customHeight="1" x14ac:dyDescent="0.25">
      <c r="C8" s="516">
        <v>4</v>
      </c>
      <c r="D8" s="147" t="s">
        <v>244</v>
      </c>
      <c r="E8" s="204"/>
      <c r="F8" s="204"/>
      <c r="G8" s="204"/>
      <c r="H8" s="204"/>
      <c r="I8" s="204"/>
      <c r="J8" s="204">
        <v>0</v>
      </c>
      <c r="K8" s="204">
        <v>0</v>
      </c>
      <c r="L8" s="204">
        <v>0</v>
      </c>
      <c r="M8" s="204">
        <v>0</v>
      </c>
      <c r="N8" s="204">
        <v>0</v>
      </c>
      <c r="O8" s="204">
        <v>0</v>
      </c>
      <c r="P8" s="204">
        <v>25676</v>
      </c>
      <c r="Q8" s="204">
        <v>81250</v>
      </c>
      <c r="R8" s="204">
        <v>0</v>
      </c>
      <c r="S8" s="204">
        <v>0</v>
      </c>
      <c r="T8" s="204">
        <v>0</v>
      </c>
      <c r="U8" s="204">
        <f t="shared" si="0"/>
        <v>106926</v>
      </c>
      <c r="V8" s="191"/>
    </row>
    <row r="9" spans="3:22" ht="14.1" customHeight="1" x14ac:dyDescent="0.25">
      <c r="C9" s="516">
        <v>5</v>
      </c>
      <c r="D9" s="147" t="s">
        <v>245</v>
      </c>
      <c r="E9" s="204"/>
      <c r="F9" s="204"/>
      <c r="G9" s="204"/>
      <c r="H9" s="204"/>
      <c r="I9" s="204"/>
      <c r="J9" s="204">
        <v>0</v>
      </c>
      <c r="K9" s="204">
        <v>0</v>
      </c>
      <c r="L9" s="204">
        <v>0</v>
      </c>
      <c r="M9" s="204">
        <v>0</v>
      </c>
      <c r="N9" s="204">
        <v>0</v>
      </c>
      <c r="O9" s="204">
        <v>3760250</v>
      </c>
      <c r="P9" s="204">
        <v>25676</v>
      </c>
      <c r="Q9" s="204">
        <v>81250</v>
      </c>
      <c r="R9" s="204">
        <v>0</v>
      </c>
      <c r="S9" s="204">
        <v>0</v>
      </c>
      <c r="T9" s="204">
        <v>0</v>
      </c>
      <c r="U9" s="204">
        <f t="shared" si="0"/>
        <v>3867176</v>
      </c>
      <c r="V9" s="191"/>
    </row>
    <row r="10" spans="3:22" ht="14.1" customHeight="1" x14ac:dyDescent="0.25">
      <c r="C10" s="516">
        <v>6</v>
      </c>
      <c r="D10" s="147" t="s">
        <v>246</v>
      </c>
      <c r="E10" s="204"/>
      <c r="F10" s="204"/>
      <c r="G10" s="204"/>
      <c r="H10" s="204"/>
      <c r="I10" s="204"/>
      <c r="J10" s="204">
        <v>0</v>
      </c>
      <c r="K10" s="204">
        <v>0</v>
      </c>
      <c r="L10" s="204">
        <v>0</v>
      </c>
      <c r="M10" s="204">
        <v>0</v>
      </c>
      <c r="N10" s="204">
        <v>0</v>
      </c>
      <c r="O10" s="204">
        <v>0</v>
      </c>
      <c r="P10" s="204">
        <v>25676</v>
      </c>
      <c r="Q10" s="204">
        <v>81250</v>
      </c>
      <c r="R10" s="204">
        <v>0</v>
      </c>
      <c r="S10" s="204">
        <v>0</v>
      </c>
      <c r="T10" s="204">
        <v>0</v>
      </c>
      <c r="U10" s="204">
        <f t="shared" si="0"/>
        <v>106926</v>
      </c>
      <c r="V10" s="191"/>
    </row>
    <row r="11" spans="3:22" ht="14.1" customHeight="1" x14ac:dyDescent="0.25">
      <c r="C11" s="516">
        <v>7</v>
      </c>
      <c r="D11" s="147" t="s">
        <v>247</v>
      </c>
      <c r="E11" s="204"/>
      <c r="F11" s="204"/>
      <c r="G11" s="204"/>
      <c r="H11" s="204"/>
      <c r="I11" s="204"/>
      <c r="J11" s="204">
        <v>0</v>
      </c>
      <c r="K11" s="204">
        <v>0</v>
      </c>
      <c r="L11" s="204">
        <v>0</v>
      </c>
      <c r="M11" s="204">
        <v>0</v>
      </c>
      <c r="N11" s="204">
        <v>0</v>
      </c>
      <c r="O11" s="204">
        <v>0</v>
      </c>
      <c r="P11" s="204">
        <v>25676</v>
      </c>
      <c r="Q11" s="204">
        <v>81250</v>
      </c>
      <c r="R11" s="204">
        <v>0</v>
      </c>
      <c r="S11" s="204">
        <v>0</v>
      </c>
      <c r="T11" s="204">
        <v>0</v>
      </c>
      <c r="U11" s="204">
        <f t="shared" si="0"/>
        <v>106926</v>
      </c>
      <c r="V11" s="191"/>
    </row>
    <row r="12" spans="3:22" ht="14.1" customHeight="1" x14ac:dyDescent="0.25">
      <c r="C12" s="516">
        <v>8</v>
      </c>
      <c r="D12" s="147" t="s">
        <v>248</v>
      </c>
      <c r="E12" s="204"/>
      <c r="F12" s="204"/>
      <c r="G12" s="204"/>
      <c r="H12" s="204"/>
      <c r="I12" s="204"/>
      <c r="J12" s="204">
        <v>0</v>
      </c>
      <c r="K12" s="204">
        <v>0</v>
      </c>
      <c r="L12" s="204">
        <v>0</v>
      </c>
      <c r="M12" s="204">
        <v>0</v>
      </c>
      <c r="N12" s="204">
        <v>0</v>
      </c>
      <c r="O12" s="204">
        <v>3760250</v>
      </c>
      <c r="P12" s="204">
        <v>25676</v>
      </c>
      <c r="Q12" s="204">
        <v>81250</v>
      </c>
      <c r="R12" s="204">
        <v>0</v>
      </c>
      <c r="S12" s="204">
        <v>0</v>
      </c>
      <c r="T12" s="204">
        <v>0</v>
      </c>
      <c r="U12" s="204">
        <f t="shared" si="0"/>
        <v>3867176</v>
      </c>
      <c r="V12" s="191"/>
    </row>
    <row r="13" spans="3:22" ht="14.1" customHeight="1" x14ac:dyDescent="0.25">
      <c r="C13" s="516">
        <v>9</v>
      </c>
      <c r="D13" s="147" t="s">
        <v>249</v>
      </c>
      <c r="E13" s="204"/>
      <c r="F13" s="204"/>
      <c r="G13" s="204"/>
      <c r="H13" s="204"/>
      <c r="I13" s="204"/>
      <c r="J13" s="204">
        <v>0</v>
      </c>
      <c r="K13" s="204">
        <v>0</v>
      </c>
      <c r="L13" s="204">
        <v>0</v>
      </c>
      <c r="M13" s="204">
        <v>0</v>
      </c>
      <c r="N13" s="204">
        <v>0</v>
      </c>
      <c r="O13" s="204">
        <v>0</v>
      </c>
      <c r="P13" s="204">
        <v>25676</v>
      </c>
      <c r="Q13" s="204">
        <v>81250</v>
      </c>
      <c r="R13" s="204">
        <v>0</v>
      </c>
      <c r="S13" s="204">
        <v>0</v>
      </c>
      <c r="T13" s="204">
        <v>0</v>
      </c>
      <c r="U13" s="204">
        <f t="shared" si="0"/>
        <v>106926</v>
      </c>
      <c r="V13" s="191"/>
    </row>
    <row r="14" spans="3:22" ht="14.1" customHeight="1" x14ac:dyDescent="0.25">
      <c r="C14" s="516">
        <v>10</v>
      </c>
      <c r="D14" s="147" t="s">
        <v>250</v>
      </c>
      <c r="E14" s="204"/>
      <c r="F14" s="204"/>
      <c r="G14" s="204"/>
      <c r="H14" s="204"/>
      <c r="I14" s="204"/>
      <c r="J14" s="204">
        <v>0</v>
      </c>
      <c r="K14" s="204">
        <v>0</v>
      </c>
      <c r="L14" s="204">
        <v>0</v>
      </c>
      <c r="M14" s="204">
        <v>0</v>
      </c>
      <c r="N14" s="204">
        <v>0</v>
      </c>
      <c r="O14" s="204">
        <v>0</v>
      </c>
      <c r="P14" s="204">
        <v>25676</v>
      </c>
      <c r="Q14" s="204">
        <v>81250</v>
      </c>
      <c r="R14" s="204">
        <v>0</v>
      </c>
      <c r="S14" s="204">
        <v>0</v>
      </c>
      <c r="T14" s="204">
        <v>0</v>
      </c>
      <c r="U14" s="204">
        <f t="shared" si="0"/>
        <v>106926</v>
      </c>
      <c r="V14" s="191"/>
    </row>
    <row r="15" spans="3:22" ht="14.1" customHeight="1" x14ac:dyDescent="0.25">
      <c r="C15" s="516">
        <v>11</v>
      </c>
      <c r="D15" s="147" t="s">
        <v>251</v>
      </c>
      <c r="E15" s="204"/>
      <c r="F15" s="204"/>
      <c r="G15" s="204"/>
      <c r="H15" s="204"/>
      <c r="I15" s="204"/>
      <c r="J15" s="204">
        <v>0</v>
      </c>
      <c r="K15" s="204">
        <v>0</v>
      </c>
      <c r="L15" s="204">
        <v>0</v>
      </c>
      <c r="M15" s="204">
        <v>0</v>
      </c>
      <c r="N15" s="204">
        <v>0</v>
      </c>
      <c r="O15" s="204">
        <v>0</v>
      </c>
      <c r="P15" s="204">
        <v>25676</v>
      </c>
      <c r="Q15" s="204">
        <v>81250</v>
      </c>
      <c r="R15" s="204">
        <v>0</v>
      </c>
      <c r="S15" s="204">
        <v>0</v>
      </c>
      <c r="T15" s="204">
        <v>0</v>
      </c>
      <c r="U15" s="204">
        <f t="shared" si="0"/>
        <v>106926</v>
      </c>
      <c r="V15" s="191"/>
    </row>
    <row r="16" spans="3:22" ht="14.1" customHeight="1" x14ac:dyDescent="0.25">
      <c r="C16" s="516">
        <v>12</v>
      </c>
      <c r="D16" s="147" t="s">
        <v>252</v>
      </c>
      <c r="E16" s="204"/>
      <c r="F16" s="204"/>
      <c r="G16" s="204"/>
      <c r="H16" s="204"/>
      <c r="I16" s="204"/>
      <c r="J16" s="204">
        <v>0</v>
      </c>
      <c r="K16" s="204">
        <v>0</v>
      </c>
      <c r="L16" s="204">
        <v>0</v>
      </c>
      <c r="M16" s="204">
        <v>0</v>
      </c>
      <c r="N16" s="204">
        <v>0</v>
      </c>
      <c r="O16" s="204">
        <v>0</v>
      </c>
      <c r="P16" s="204">
        <v>25676</v>
      </c>
      <c r="Q16" s="204">
        <v>81250</v>
      </c>
      <c r="R16" s="204">
        <v>0</v>
      </c>
      <c r="S16" s="204">
        <v>0</v>
      </c>
      <c r="T16" s="204">
        <v>0</v>
      </c>
      <c r="U16" s="204">
        <f t="shared" si="0"/>
        <v>106926</v>
      </c>
      <c r="V16" s="191"/>
    </row>
    <row r="17" spans="3:22" ht="14.1" customHeight="1" x14ac:dyDescent="0.25">
      <c r="C17" s="516">
        <v>13</v>
      </c>
      <c r="D17" s="147" t="s">
        <v>253</v>
      </c>
      <c r="E17" s="204"/>
      <c r="F17" s="204"/>
      <c r="G17" s="204"/>
      <c r="H17" s="204"/>
      <c r="I17" s="204"/>
      <c r="J17" s="204">
        <v>0</v>
      </c>
      <c r="K17" s="204">
        <v>0</v>
      </c>
      <c r="L17" s="204">
        <v>0</v>
      </c>
      <c r="M17" s="204">
        <v>0</v>
      </c>
      <c r="N17" s="204">
        <v>0</v>
      </c>
      <c r="O17" s="204">
        <v>0</v>
      </c>
      <c r="P17" s="204">
        <v>25676</v>
      </c>
      <c r="Q17" s="204">
        <v>81250</v>
      </c>
      <c r="R17" s="204">
        <v>0</v>
      </c>
      <c r="S17" s="204">
        <v>0</v>
      </c>
      <c r="T17" s="204">
        <v>0</v>
      </c>
      <c r="U17" s="204">
        <f t="shared" si="0"/>
        <v>106926</v>
      </c>
      <c r="V17" s="191"/>
    </row>
    <row r="18" spans="3:22" ht="14.1" customHeight="1" x14ac:dyDescent="0.25">
      <c r="C18" s="516">
        <v>14</v>
      </c>
      <c r="D18" s="147" t="s">
        <v>254</v>
      </c>
      <c r="E18" s="204"/>
      <c r="F18" s="204"/>
      <c r="G18" s="204"/>
      <c r="H18" s="204"/>
      <c r="I18" s="204"/>
      <c r="J18" s="204">
        <v>0</v>
      </c>
      <c r="K18" s="204">
        <v>0</v>
      </c>
      <c r="L18" s="204">
        <v>0</v>
      </c>
      <c r="M18" s="204">
        <v>0</v>
      </c>
      <c r="N18" s="204">
        <v>0</v>
      </c>
      <c r="O18" s="204">
        <v>0</v>
      </c>
      <c r="P18" s="204">
        <v>25676</v>
      </c>
      <c r="Q18" s="204">
        <v>81250</v>
      </c>
      <c r="R18" s="204">
        <v>0</v>
      </c>
      <c r="S18" s="204">
        <v>0</v>
      </c>
      <c r="T18" s="204">
        <v>0</v>
      </c>
      <c r="U18" s="204">
        <f t="shared" si="0"/>
        <v>106926</v>
      </c>
      <c r="V18" s="191"/>
    </row>
    <row r="19" spans="3:22" ht="14.1" customHeight="1" x14ac:dyDescent="0.25">
      <c r="C19" s="516">
        <v>15</v>
      </c>
      <c r="D19" s="147" t="s">
        <v>255</v>
      </c>
      <c r="E19" s="204"/>
      <c r="F19" s="204"/>
      <c r="G19" s="204"/>
      <c r="H19" s="204"/>
      <c r="I19" s="204"/>
      <c r="J19" s="204">
        <v>0</v>
      </c>
      <c r="K19" s="204">
        <v>0</v>
      </c>
      <c r="L19" s="204">
        <v>0</v>
      </c>
      <c r="M19" s="204">
        <v>0</v>
      </c>
      <c r="N19" s="204">
        <v>0</v>
      </c>
      <c r="O19" s="204">
        <v>0</v>
      </c>
      <c r="P19" s="204">
        <v>25676</v>
      </c>
      <c r="Q19" s="204">
        <v>81250</v>
      </c>
      <c r="R19" s="204">
        <v>0</v>
      </c>
      <c r="S19" s="204">
        <v>0</v>
      </c>
      <c r="T19" s="204">
        <v>0</v>
      </c>
      <c r="U19" s="204">
        <f t="shared" si="0"/>
        <v>106926</v>
      </c>
      <c r="V19" s="191"/>
    </row>
    <row r="20" spans="3:22" ht="14.1" customHeight="1" x14ac:dyDescent="0.25">
      <c r="C20" s="516">
        <v>16</v>
      </c>
      <c r="D20" s="147" t="s">
        <v>256</v>
      </c>
      <c r="E20" s="204"/>
      <c r="F20" s="204"/>
      <c r="G20" s="204"/>
      <c r="H20" s="204"/>
      <c r="I20" s="204"/>
      <c r="J20" s="204">
        <v>0</v>
      </c>
      <c r="K20" s="204">
        <v>0</v>
      </c>
      <c r="L20" s="204">
        <v>0</v>
      </c>
      <c r="M20" s="204">
        <v>0</v>
      </c>
      <c r="N20" s="204">
        <v>0</v>
      </c>
      <c r="O20" s="204">
        <v>3760250</v>
      </c>
      <c r="P20" s="204">
        <v>25676</v>
      </c>
      <c r="Q20" s="204">
        <v>81250</v>
      </c>
      <c r="R20" s="204">
        <v>0</v>
      </c>
      <c r="S20" s="204">
        <v>0</v>
      </c>
      <c r="T20" s="204">
        <v>0</v>
      </c>
      <c r="U20" s="204">
        <f t="shared" si="0"/>
        <v>3867176</v>
      </c>
      <c r="V20" s="191"/>
    </row>
    <row r="21" spans="3:22" ht="14.1" customHeight="1" x14ac:dyDescent="0.25">
      <c r="C21" s="516">
        <v>17</v>
      </c>
      <c r="D21" s="147" t="s">
        <v>257</v>
      </c>
      <c r="E21" s="204"/>
      <c r="F21" s="204"/>
      <c r="G21" s="204"/>
      <c r="H21" s="204"/>
      <c r="I21" s="204"/>
      <c r="J21" s="204">
        <v>0</v>
      </c>
      <c r="K21" s="204">
        <v>0</v>
      </c>
      <c r="L21" s="204">
        <v>0</v>
      </c>
      <c r="M21" s="204">
        <v>0</v>
      </c>
      <c r="N21" s="204">
        <v>0</v>
      </c>
      <c r="O21" s="204">
        <v>3760250</v>
      </c>
      <c r="P21" s="204">
        <v>25676</v>
      </c>
      <c r="Q21" s="204">
        <v>81250</v>
      </c>
      <c r="R21" s="204">
        <v>0</v>
      </c>
      <c r="S21" s="204">
        <v>0</v>
      </c>
      <c r="T21" s="204">
        <v>0</v>
      </c>
      <c r="U21" s="204">
        <f t="shared" si="0"/>
        <v>3867176</v>
      </c>
      <c r="V21" s="191"/>
    </row>
    <row r="22" spans="3:22" ht="14.1" customHeight="1" x14ac:dyDescent="0.25">
      <c r="C22" s="516">
        <v>18</v>
      </c>
      <c r="D22" s="147" t="s">
        <v>258</v>
      </c>
      <c r="E22" s="204"/>
      <c r="F22" s="204"/>
      <c r="G22" s="204"/>
      <c r="H22" s="204"/>
      <c r="I22" s="204"/>
      <c r="J22" s="204">
        <v>0</v>
      </c>
      <c r="K22" s="204">
        <v>0</v>
      </c>
      <c r="L22" s="204">
        <v>0</v>
      </c>
      <c r="M22" s="204">
        <v>0</v>
      </c>
      <c r="N22" s="204">
        <v>0</v>
      </c>
      <c r="O22" s="204">
        <v>0</v>
      </c>
      <c r="P22" s="204">
        <v>25676</v>
      </c>
      <c r="Q22" s="204">
        <v>81250</v>
      </c>
      <c r="R22" s="204">
        <v>0</v>
      </c>
      <c r="S22" s="204">
        <v>0</v>
      </c>
      <c r="T22" s="204">
        <v>0</v>
      </c>
      <c r="U22" s="204">
        <f t="shared" si="0"/>
        <v>106926</v>
      </c>
      <c r="V22" s="191"/>
    </row>
    <row r="23" spans="3:22" ht="14.1" customHeight="1" x14ac:dyDescent="0.25">
      <c r="C23" s="516">
        <v>19</v>
      </c>
      <c r="D23" s="147" t="s">
        <v>259</v>
      </c>
      <c r="E23" s="204">
        <v>0</v>
      </c>
      <c r="F23" s="204">
        <v>0</v>
      </c>
      <c r="G23" s="204">
        <v>0</v>
      </c>
      <c r="H23" s="204">
        <v>0</v>
      </c>
      <c r="I23" s="204">
        <v>1504000</v>
      </c>
      <c r="J23" s="204">
        <v>767000</v>
      </c>
      <c r="K23" s="204">
        <v>0</v>
      </c>
      <c r="L23" s="204">
        <v>478800</v>
      </c>
      <c r="M23" s="204">
        <v>478800</v>
      </c>
      <c r="N23" s="204">
        <v>513000</v>
      </c>
      <c r="O23" s="204">
        <v>3760250</v>
      </c>
      <c r="P23" s="204">
        <v>51352</v>
      </c>
      <c r="Q23" s="204">
        <v>162500</v>
      </c>
      <c r="R23" s="204">
        <v>18400000</v>
      </c>
      <c r="S23" s="204">
        <v>0</v>
      </c>
      <c r="T23" s="204">
        <v>0</v>
      </c>
      <c r="U23" s="204">
        <f t="shared" si="0"/>
        <v>26115702</v>
      </c>
      <c r="V23" s="191"/>
    </row>
    <row r="24" spans="3:22" ht="14.1" customHeight="1" x14ac:dyDescent="0.25">
      <c r="C24" s="516">
        <v>20</v>
      </c>
      <c r="D24" s="147" t="s">
        <v>260</v>
      </c>
      <c r="E24" s="204"/>
      <c r="F24" s="204"/>
      <c r="G24" s="204"/>
      <c r="H24" s="204"/>
      <c r="I24" s="204"/>
      <c r="J24" s="204">
        <v>0</v>
      </c>
      <c r="K24" s="204">
        <v>0</v>
      </c>
      <c r="L24" s="204">
        <v>0</v>
      </c>
      <c r="M24" s="204">
        <v>0</v>
      </c>
      <c r="N24" s="204">
        <v>0</v>
      </c>
      <c r="O24" s="204">
        <v>0</v>
      </c>
      <c r="P24" s="204">
        <v>25676</v>
      </c>
      <c r="Q24" s="204">
        <v>81250</v>
      </c>
      <c r="R24" s="204">
        <v>0</v>
      </c>
      <c r="S24" s="204">
        <v>0</v>
      </c>
      <c r="T24" s="204">
        <v>0</v>
      </c>
      <c r="U24" s="204">
        <f t="shared" si="0"/>
        <v>106926</v>
      </c>
      <c r="V24" s="191"/>
    </row>
    <row r="25" spans="3:22" ht="14.1" customHeight="1" x14ac:dyDescent="0.25">
      <c r="C25" s="516">
        <v>21</v>
      </c>
      <c r="D25" s="147" t="s">
        <v>261</v>
      </c>
      <c r="E25" s="204"/>
      <c r="F25" s="204"/>
      <c r="G25" s="204"/>
      <c r="H25" s="204"/>
      <c r="I25" s="204"/>
      <c r="J25" s="204">
        <v>0</v>
      </c>
      <c r="K25" s="204">
        <v>0</v>
      </c>
      <c r="L25" s="204">
        <v>0</v>
      </c>
      <c r="M25" s="204">
        <v>0</v>
      </c>
      <c r="N25" s="204">
        <v>0</v>
      </c>
      <c r="O25" s="204">
        <v>3760250</v>
      </c>
      <c r="P25" s="204">
        <v>25676</v>
      </c>
      <c r="Q25" s="204">
        <v>81250</v>
      </c>
      <c r="R25" s="204">
        <v>0</v>
      </c>
      <c r="S25" s="204">
        <v>0</v>
      </c>
      <c r="T25" s="204">
        <v>0</v>
      </c>
      <c r="U25" s="204">
        <f t="shared" si="0"/>
        <v>3867176</v>
      </c>
      <c r="V25" s="191"/>
    </row>
    <row r="26" spans="3:22" ht="14.1" customHeight="1" x14ac:dyDescent="0.25">
      <c r="C26" s="516">
        <v>22</v>
      </c>
      <c r="D26" s="147" t="s">
        <v>262</v>
      </c>
      <c r="E26" s="204"/>
      <c r="F26" s="204"/>
      <c r="G26" s="204"/>
      <c r="H26" s="204"/>
      <c r="I26" s="204"/>
      <c r="J26" s="204">
        <v>0</v>
      </c>
      <c r="K26" s="204">
        <v>0</v>
      </c>
      <c r="L26" s="204">
        <v>0</v>
      </c>
      <c r="M26" s="204">
        <v>0</v>
      </c>
      <c r="N26" s="204">
        <v>0</v>
      </c>
      <c r="O26" s="204">
        <v>3760250</v>
      </c>
      <c r="P26" s="204">
        <v>25676</v>
      </c>
      <c r="Q26" s="204">
        <v>81250</v>
      </c>
      <c r="R26" s="204">
        <v>0</v>
      </c>
      <c r="S26" s="204">
        <v>0</v>
      </c>
      <c r="T26" s="204">
        <v>0</v>
      </c>
      <c r="U26" s="204">
        <f t="shared" si="0"/>
        <v>3867176</v>
      </c>
      <c r="V26" s="191"/>
    </row>
    <row r="27" spans="3:22" ht="14.1" customHeight="1" x14ac:dyDescent="0.25">
      <c r="C27" s="516">
        <v>23</v>
      </c>
      <c r="D27" s="147" t="s">
        <v>263</v>
      </c>
      <c r="E27" s="204"/>
      <c r="F27" s="204"/>
      <c r="G27" s="204"/>
      <c r="H27" s="204"/>
      <c r="I27" s="204"/>
      <c r="J27" s="204">
        <v>0</v>
      </c>
      <c r="K27" s="204">
        <v>0</v>
      </c>
      <c r="L27" s="204">
        <v>0</v>
      </c>
      <c r="M27" s="204">
        <v>0</v>
      </c>
      <c r="N27" s="204">
        <v>0</v>
      </c>
      <c r="O27" s="204">
        <v>3760250</v>
      </c>
      <c r="P27" s="204">
        <v>25676</v>
      </c>
      <c r="Q27" s="204">
        <v>81250</v>
      </c>
      <c r="R27" s="204">
        <v>0</v>
      </c>
      <c r="S27" s="204">
        <v>0</v>
      </c>
      <c r="T27" s="204">
        <v>0</v>
      </c>
      <c r="U27" s="204">
        <f t="shared" si="0"/>
        <v>3867176</v>
      </c>
      <c r="V27" s="191"/>
    </row>
    <row r="28" spans="3:22" ht="14.1" customHeight="1" x14ac:dyDescent="0.25">
      <c r="C28" s="516">
        <v>24</v>
      </c>
      <c r="D28" s="147" t="s">
        <v>264</v>
      </c>
      <c r="E28" s="204"/>
      <c r="F28" s="204"/>
      <c r="G28" s="204"/>
      <c r="H28" s="204"/>
      <c r="I28" s="204"/>
      <c r="J28" s="204">
        <v>0</v>
      </c>
      <c r="K28" s="204">
        <v>0</v>
      </c>
      <c r="L28" s="204">
        <v>0</v>
      </c>
      <c r="M28" s="204">
        <v>0</v>
      </c>
      <c r="N28" s="204">
        <v>0</v>
      </c>
      <c r="O28" s="204">
        <v>3760250</v>
      </c>
      <c r="P28" s="204">
        <v>25676</v>
      </c>
      <c r="Q28" s="204">
        <v>81250</v>
      </c>
      <c r="R28" s="204">
        <v>0</v>
      </c>
      <c r="S28" s="204">
        <v>0</v>
      </c>
      <c r="T28" s="204">
        <v>0</v>
      </c>
      <c r="U28" s="204">
        <f t="shared" si="0"/>
        <v>3867176</v>
      </c>
      <c r="V28" s="191"/>
    </row>
    <row r="29" spans="3:22" ht="14.1" customHeight="1" x14ac:dyDescent="0.25">
      <c r="C29" s="516">
        <v>25</v>
      </c>
      <c r="D29" s="147" t="s">
        <v>265</v>
      </c>
      <c r="E29" s="204">
        <v>380000</v>
      </c>
      <c r="F29" s="204">
        <v>286000</v>
      </c>
      <c r="G29" s="204">
        <v>480000</v>
      </c>
      <c r="H29" s="204">
        <v>118000</v>
      </c>
      <c r="I29" s="204">
        <v>3102000</v>
      </c>
      <c r="J29" s="204">
        <v>767000</v>
      </c>
      <c r="K29" s="204">
        <v>24473280</v>
      </c>
      <c r="L29" s="204">
        <v>957600</v>
      </c>
      <c r="M29" s="204">
        <v>957600</v>
      </c>
      <c r="N29" s="204">
        <v>718200</v>
      </c>
      <c r="O29" s="204">
        <v>3760250</v>
      </c>
      <c r="P29" s="204">
        <v>51352</v>
      </c>
      <c r="Q29" s="204">
        <v>162500</v>
      </c>
      <c r="R29" s="204">
        <v>18400000</v>
      </c>
      <c r="S29" s="204">
        <v>7326000</v>
      </c>
      <c r="T29" s="204">
        <v>708180</v>
      </c>
      <c r="U29" s="204">
        <f t="shared" si="0"/>
        <v>62647962</v>
      </c>
      <c r="V29" s="191"/>
    </row>
    <row r="30" spans="3:22" ht="14.1" customHeight="1" x14ac:dyDescent="0.25">
      <c r="C30" s="516">
        <v>26</v>
      </c>
      <c r="D30" s="147" t="s">
        <v>266</v>
      </c>
      <c r="E30" s="204"/>
      <c r="F30" s="204"/>
      <c r="G30" s="204"/>
      <c r="H30" s="204"/>
      <c r="I30" s="204"/>
      <c r="J30" s="204">
        <v>0</v>
      </c>
      <c r="K30" s="204">
        <v>0</v>
      </c>
      <c r="L30" s="204">
        <v>0</v>
      </c>
      <c r="M30" s="204">
        <v>0</v>
      </c>
      <c r="N30" s="204">
        <v>0</v>
      </c>
      <c r="O30" s="204">
        <v>3760250</v>
      </c>
      <c r="P30" s="204">
        <v>25676</v>
      </c>
      <c r="Q30" s="204">
        <v>81250</v>
      </c>
      <c r="R30" s="204">
        <v>0</v>
      </c>
      <c r="S30" s="204">
        <v>0</v>
      </c>
      <c r="T30" s="204">
        <v>0</v>
      </c>
      <c r="U30" s="204">
        <f t="shared" si="0"/>
        <v>3867176</v>
      </c>
      <c r="V30" s="191"/>
    </row>
    <row r="31" spans="3:22" ht="14.1" customHeight="1" x14ac:dyDescent="0.25">
      <c r="C31" s="516">
        <v>27</v>
      </c>
      <c r="D31" s="147" t="s">
        <v>267</v>
      </c>
      <c r="E31" s="204"/>
      <c r="F31" s="204"/>
      <c r="G31" s="204"/>
      <c r="H31" s="204"/>
      <c r="I31" s="204"/>
      <c r="J31" s="204">
        <v>0</v>
      </c>
      <c r="K31" s="204">
        <v>0</v>
      </c>
      <c r="L31" s="204">
        <v>0</v>
      </c>
      <c r="M31" s="204">
        <v>0</v>
      </c>
      <c r="N31" s="204">
        <v>0</v>
      </c>
      <c r="O31" s="204">
        <v>3760250</v>
      </c>
      <c r="P31" s="204">
        <v>25676</v>
      </c>
      <c r="Q31" s="204">
        <v>81250</v>
      </c>
      <c r="R31" s="204">
        <v>0</v>
      </c>
      <c r="S31" s="204">
        <v>0</v>
      </c>
      <c r="T31" s="204">
        <v>0</v>
      </c>
      <c r="U31" s="204">
        <f t="shared" si="0"/>
        <v>3867176</v>
      </c>
      <c r="V31" s="191"/>
    </row>
    <row r="32" spans="3:22" ht="14.1" customHeight="1" x14ac:dyDescent="0.25">
      <c r="C32" s="516">
        <v>28</v>
      </c>
      <c r="D32" s="147" t="s">
        <v>268</v>
      </c>
      <c r="E32" s="204"/>
      <c r="F32" s="204"/>
      <c r="G32" s="204"/>
      <c r="H32" s="204"/>
      <c r="I32" s="204"/>
      <c r="J32" s="204">
        <v>0</v>
      </c>
      <c r="K32" s="204">
        <v>0</v>
      </c>
      <c r="L32" s="204">
        <v>0</v>
      </c>
      <c r="M32" s="204">
        <v>0</v>
      </c>
      <c r="N32" s="204">
        <v>0</v>
      </c>
      <c r="O32" s="204">
        <v>3760250</v>
      </c>
      <c r="P32" s="204">
        <v>25676</v>
      </c>
      <c r="Q32" s="204">
        <v>81250</v>
      </c>
      <c r="R32" s="204">
        <v>0</v>
      </c>
      <c r="S32" s="204">
        <v>0</v>
      </c>
      <c r="T32" s="204">
        <v>0</v>
      </c>
      <c r="U32" s="204">
        <f t="shared" si="0"/>
        <v>3867176</v>
      </c>
      <c r="V32" s="191"/>
    </row>
    <row r="33" spans="3:22" ht="14.1" customHeight="1" x14ac:dyDescent="0.25">
      <c r="C33" s="516">
        <v>29</v>
      </c>
      <c r="D33" s="147" t="s">
        <v>269</v>
      </c>
      <c r="E33" s="204"/>
      <c r="F33" s="204"/>
      <c r="G33" s="204"/>
      <c r="H33" s="204"/>
      <c r="I33" s="204"/>
      <c r="J33" s="204">
        <v>0</v>
      </c>
      <c r="K33" s="204">
        <v>0</v>
      </c>
      <c r="L33" s="204">
        <v>0</v>
      </c>
      <c r="M33" s="204">
        <v>0</v>
      </c>
      <c r="N33" s="204">
        <v>0</v>
      </c>
      <c r="O33" s="204">
        <v>3760250</v>
      </c>
      <c r="P33" s="204">
        <v>25676</v>
      </c>
      <c r="Q33" s="204">
        <v>81250</v>
      </c>
      <c r="R33" s="204">
        <v>0</v>
      </c>
      <c r="S33" s="204">
        <v>0</v>
      </c>
      <c r="T33" s="204">
        <v>0</v>
      </c>
      <c r="U33" s="204">
        <f t="shared" si="0"/>
        <v>3867176</v>
      </c>
      <c r="V33" s="191"/>
    </row>
    <row r="34" spans="3:22" ht="14.1" customHeight="1" x14ac:dyDescent="0.25">
      <c r="C34" s="516">
        <v>30</v>
      </c>
      <c r="D34" s="147" t="s">
        <v>270</v>
      </c>
      <c r="E34" s="204"/>
      <c r="F34" s="204"/>
      <c r="G34" s="204"/>
      <c r="H34" s="204"/>
      <c r="I34" s="204"/>
      <c r="J34" s="204">
        <v>0</v>
      </c>
      <c r="K34" s="204">
        <v>0</v>
      </c>
      <c r="L34" s="204">
        <v>0</v>
      </c>
      <c r="M34" s="204">
        <v>0</v>
      </c>
      <c r="N34" s="204">
        <v>0</v>
      </c>
      <c r="O34" s="204">
        <v>0</v>
      </c>
      <c r="P34" s="204">
        <v>25676</v>
      </c>
      <c r="Q34" s="204">
        <v>81250</v>
      </c>
      <c r="R34" s="204">
        <v>0</v>
      </c>
      <c r="S34" s="204">
        <v>0</v>
      </c>
      <c r="T34" s="204">
        <v>0</v>
      </c>
      <c r="U34" s="204">
        <f t="shared" si="0"/>
        <v>106926</v>
      </c>
      <c r="V34" s="191"/>
    </row>
    <row r="35" spans="3:22" ht="14.1" customHeight="1" x14ac:dyDescent="0.25">
      <c r="C35" s="516">
        <v>31</v>
      </c>
      <c r="D35" s="147" t="s">
        <v>271</v>
      </c>
      <c r="E35" s="204"/>
      <c r="F35" s="204"/>
      <c r="G35" s="204"/>
      <c r="H35" s="204"/>
      <c r="I35" s="204"/>
      <c r="J35" s="204">
        <v>0</v>
      </c>
      <c r="K35" s="204">
        <v>0</v>
      </c>
      <c r="L35" s="204">
        <v>0</v>
      </c>
      <c r="M35" s="204">
        <v>0</v>
      </c>
      <c r="N35" s="204">
        <v>0</v>
      </c>
      <c r="O35" s="204">
        <v>3760250</v>
      </c>
      <c r="P35" s="204">
        <v>25676</v>
      </c>
      <c r="Q35" s="204">
        <v>81250</v>
      </c>
      <c r="R35" s="204">
        <v>0</v>
      </c>
      <c r="S35" s="204">
        <v>0</v>
      </c>
      <c r="T35" s="204">
        <v>0</v>
      </c>
      <c r="U35" s="204">
        <f t="shared" si="0"/>
        <v>3867176</v>
      </c>
      <c r="V35" s="191"/>
    </row>
    <row r="36" spans="3:22" ht="14.1" customHeight="1" x14ac:dyDescent="0.25">
      <c r="C36" s="516">
        <v>32</v>
      </c>
      <c r="D36" s="147" t="s">
        <v>272</v>
      </c>
      <c r="E36" s="204"/>
      <c r="F36" s="204"/>
      <c r="G36" s="204"/>
      <c r="H36" s="204"/>
      <c r="I36" s="204"/>
      <c r="J36" s="204">
        <v>0</v>
      </c>
      <c r="K36" s="204">
        <v>0</v>
      </c>
      <c r="L36" s="204">
        <v>0</v>
      </c>
      <c r="M36" s="204">
        <v>0</v>
      </c>
      <c r="N36" s="204">
        <v>0</v>
      </c>
      <c r="O36" s="204">
        <v>0</v>
      </c>
      <c r="P36" s="204">
        <v>25676</v>
      </c>
      <c r="Q36" s="204">
        <v>81250</v>
      </c>
      <c r="R36" s="204">
        <v>0</v>
      </c>
      <c r="S36" s="204">
        <v>0</v>
      </c>
      <c r="T36" s="204">
        <v>0</v>
      </c>
      <c r="U36" s="204">
        <f t="shared" si="0"/>
        <v>106926</v>
      </c>
      <c r="V36" s="191"/>
    </row>
    <row r="37" spans="3:22" ht="14.1" customHeight="1" x14ac:dyDescent="0.25">
      <c r="C37" s="516">
        <v>33</v>
      </c>
      <c r="D37" s="147" t="s">
        <v>273</v>
      </c>
      <c r="E37" s="204"/>
      <c r="F37" s="204"/>
      <c r="G37" s="204"/>
      <c r="H37" s="204"/>
      <c r="I37" s="204"/>
      <c r="J37" s="204">
        <v>0</v>
      </c>
      <c r="K37" s="204">
        <v>0</v>
      </c>
      <c r="L37" s="204">
        <v>0</v>
      </c>
      <c r="M37" s="204">
        <v>0</v>
      </c>
      <c r="N37" s="204">
        <v>0</v>
      </c>
      <c r="O37" s="204">
        <v>0</v>
      </c>
      <c r="P37" s="204">
        <v>25676</v>
      </c>
      <c r="Q37" s="204">
        <v>81250</v>
      </c>
      <c r="R37" s="204">
        <v>0</v>
      </c>
      <c r="S37" s="204">
        <v>0</v>
      </c>
      <c r="T37" s="204">
        <v>0</v>
      </c>
      <c r="U37" s="204">
        <f t="shared" si="0"/>
        <v>106926</v>
      </c>
      <c r="V37" s="191"/>
    </row>
    <row r="38" spans="3:22" ht="14.1" customHeight="1" x14ac:dyDescent="0.25">
      <c r="C38" s="516">
        <v>34</v>
      </c>
      <c r="D38" s="147" t="s">
        <v>274</v>
      </c>
      <c r="E38" s="204"/>
      <c r="F38" s="204"/>
      <c r="G38" s="204"/>
      <c r="H38" s="204"/>
      <c r="I38" s="204"/>
      <c r="J38" s="204">
        <v>0</v>
      </c>
      <c r="K38" s="204">
        <v>0</v>
      </c>
      <c r="L38" s="204">
        <v>0</v>
      </c>
      <c r="M38" s="204">
        <v>0</v>
      </c>
      <c r="N38" s="204">
        <v>0</v>
      </c>
      <c r="O38" s="204">
        <v>0</v>
      </c>
      <c r="P38" s="204">
        <v>25676</v>
      </c>
      <c r="Q38" s="204">
        <v>81250</v>
      </c>
      <c r="R38" s="204">
        <v>0</v>
      </c>
      <c r="S38" s="204">
        <v>0</v>
      </c>
      <c r="T38" s="204">
        <v>0</v>
      </c>
      <c r="U38" s="204">
        <f t="shared" si="0"/>
        <v>106926</v>
      </c>
      <c r="V38" s="191"/>
    </row>
    <row r="39" spans="3:22" ht="14.1" customHeight="1" x14ac:dyDescent="0.25">
      <c r="C39" s="516">
        <v>35</v>
      </c>
      <c r="D39" s="147" t="s">
        <v>275</v>
      </c>
      <c r="E39" s="204"/>
      <c r="F39" s="204"/>
      <c r="G39" s="204"/>
      <c r="H39" s="204"/>
      <c r="I39" s="204"/>
      <c r="J39" s="204">
        <v>0</v>
      </c>
      <c r="K39" s="204">
        <v>0</v>
      </c>
      <c r="L39" s="204">
        <v>0</v>
      </c>
      <c r="M39" s="204">
        <v>0</v>
      </c>
      <c r="N39" s="204">
        <v>0</v>
      </c>
      <c r="O39" s="204">
        <v>3760250</v>
      </c>
      <c r="P39" s="204">
        <v>25676</v>
      </c>
      <c r="Q39" s="204">
        <v>81250</v>
      </c>
      <c r="R39" s="204">
        <v>0</v>
      </c>
      <c r="S39" s="204">
        <v>0</v>
      </c>
      <c r="T39" s="204">
        <v>0</v>
      </c>
      <c r="U39" s="204">
        <f t="shared" si="0"/>
        <v>3867176</v>
      </c>
      <c r="V39" s="191"/>
    </row>
    <row r="40" spans="3:22" ht="14.1" customHeight="1" x14ac:dyDescent="0.25">
      <c r="C40" s="516">
        <v>36</v>
      </c>
      <c r="D40" s="147" t="s">
        <v>276</v>
      </c>
      <c r="E40" s="204">
        <v>380000</v>
      </c>
      <c r="F40" s="204">
        <v>286000</v>
      </c>
      <c r="G40" s="204">
        <v>480000</v>
      </c>
      <c r="H40" s="204">
        <v>118000</v>
      </c>
      <c r="I40" s="204">
        <v>1504000</v>
      </c>
      <c r="J40" s="204">
        <v>767000</v>
      </c>
      <c r="K40" s="204">
        <v>24473280</v>
      </c>
      <c r="L40" s="204">
        <v>478800</v>
      </c>
      <c r="M40" s="204">
        <v>478800</v>
      </c>
      <c r="N40" s="204">
        <v>513000</v>
      </c>
      <c r="O40" s="204">
        <v>3760250</v>
      </c>
      <c r="P40" s="204">
        <v>51352</v>
      </c>
      <c r="Q40" s="204">
        <v>162500</v>
      </c>
      <c r="R40" s="204">
        <v>18400000</v>
      </c>
      <c r="S40" s="204">
        <v>7326000</v>
      </c>
      <c r="T40" s="204">
        <v>708180</v>
      </c>
      <c r="U40" s="204">
        <f t="shared" si="0"/>
        <v>59887162</v>
      </c>
      <c r="V40" s="191"/>
    </row>
    <row r="41" spans="3:22" ht="14.1" customHeight="1" x14ac:dyDescent="0.25">
      <c r="C41" s="516">
        <v>37</v>
      </c>
      <c r="D41" s="147" t="s">
        <v>277</v>
      </c>
      <c r="E41" s="204">
        <v>380000</v>
      </c>
      <c r="F41" s="204">
        <v>286000</v>
      </c>
      <c r="G41" s="204">
        <v>480000</v>
      </c>
      <c r="H41" s="204">
        <v>118000</v>
      </c>
      <c r="I41" s="204">
        <v>470000</v>
      </c>
      <c r="J41" s="204">
        <v>767000</v>
      </c>
      <c r="K41" s="204">
        <v>0</v>
      </c>
      <c r="L41" s="204">
        <v>478800</v>
      </c>
      <c r="M41" s="204">
        <v>478800</v>
      </c>
      <c r="N41" s="204">
        <v>513000</v>
      </c>
      <c r="O41" s="204">
        <v>3760250</v>
      </c>
      <c r="P41" s="204">
        <v>51352</v>
      </c>
      <c r="Q41" s="204">
        <v>162500</v>
      </c>
      <c r="R41" s="204">
        <v>4600000</v>
      </c>
      <c r="S41" s="204">
        <v>0</v>
      </c>
      <c r="T41" s="204">
        <v>0</v>
      </c>
      <c r="U41" s="204">
        <f t="shared" si="0"/>
        <v>12545702</v>
      </c>
      <c r="V41" s="191"/>
    </row>
    <row r="42" spans="3:22" ht="14.1" customHeight="1" x14ac:dyDescent="0.25">
      <c r="C42" s="516">
        <v>38</v>
      </c>
      <c r="D42" s="147" t="s">
        <v>278</v>
      </c>
      <c r="E42" s="204">
        <v>380000</v>
      </c>
      <c r="F42" s="204">
        <v>286000</v>
      </c>
      <c r="G42" s="204">
        <v>480000</v>
      </c>
      <c r="H42" s="204">
        <v>118000</v>
      </c>
      <c r="I42" s="204">
        <v>940000</v>
      </c>
      <c r="J42" s="204">
        <v>767000</v>
      </c>
      <c r="K42" s="204">
        <v>24473280</v>
      </c>
      <c r="L42" s="204">
        <v>478800</v>
      </c>
      <c r="M42" s="204">
        <v>478800</v>
      </c>
      <c r="N42" s="204">
        <v>513000</v>
      </c>
      <c r="O42" s="204">
        <v>0</v>
      </c>
      <c r="P42" s="204">
        <v>51352</v>
      </c>
      <c r="Q42" s="204">
        <v>162500</v>
      </c>
      <c r="R42" s="204">
        <v>18400000</v>
      </c>
      <c r="S42" s="204">
        <v>7326000</v>
      </c>
      <c r="T42" s="204">
        <v>708180</v>
      </c>
      <c r="U42" s="204">
        <f t="shared" si="0"/>
        <v>55562912</v>
      </c>
      <c r="V42" s="191"/>
    </row>
    <row r="43" spans="3:22" ht="14.1" customHeight="1" x14ac:dyDescent="0.25">
      <c r="C43" s="516">
        <v>39</v>
      </c>
      <c r="D43" s="147" t="s">
        <v>279</v>
      </c>
      <c r="E43" s="204"/>
      <c r="F43" s="204"/>
      <c r="G43" s="204"/>
      <c r="H43" s="204"/>
      <c r="I43" s="204"/>
      <c r="J43" s="204">
        <v>0</v>
      </c>
      <c r="K43" s="204">
        <v>0</v>
      </c>
      <c r="L43" s="204">
        <v>0</v>
      </c>
      <c r="M43" s="204">
        <v>0</v>
      </c>
      <c r="N43" s="204">
        <v>0</v>
      </c>
      <c r="O43" s="204">
        <v>0</v>
      </c>
      <c r="P43" s="204">
        <v>25676</v>
      </c>
      <c r="Q43" s="204">
        <v>81250</v>
      </c>
      <c r="R43" s="204">
        <v>0</v>
      </c>
      <c r="S43" s="204">
        <v>0</v>
      </c>
      <c r="T43" s="204">
        <v>0</v>
      </c>
      <c r="U43" s="204">
        <f t="shared" si="0"/>
        <v>106926</v>
      </c>
      <c r="V43" s="191"/>
    </row>
    <row r="44" spans="3:22" ht="14.1" customHeight="1" x14ac:dyDescent="0.25">
      <c r="C44" s="516">
        <v>40</v>
      </c>
      <c r="D44" s="147" t="s">
        <v>280</v>
      </c>
      <c r="E44" s="204"/>
      <c r="F44" s="204"/>
      <c r="G44" s="204"/>
      <c r="H44" s="204"/>
      <c r="I44" s="204"/>
      <c r="J44" s="204">
        <v>0</v>
      </c>
      <c r="K44" s="204">
        <v>0</v>
      </c>
      <c r="L44" s="204">
        <v>0</v>
      </c>
      <c r="M44" s="204">
        <v>0</v>
      </c>
      <c r="N44" s="204">
        <v>0</v>
      </c>
      <c r="O44" s="204">
        <v>0</v>
      </c>
      <c r="P44" s="204">
        <v>0</v>
      </c>
      <c r="Q44" s="204">
        <v>0</v>
      </c>
      <c r="R44" s="204">
        <v>0</v>
      </c>
      <c r="S44" s="204">
        <v>0</v>
      </c>
      <c r="T44" s="204">
        <v>0</v>
      </c>
      <c r="U44" s="204">
        <f t="shared" si="0"/>
        <v>0</v>
      </c>
      <c r="V44" s="191"/>
    </row>
    <row r="45" spans="3:22" x14ac:dyDescent="0.25">
      <c r="C45" s="872" t="s">
        <v>297</v>
      </c>
      <c r="D45" s="872"/>
      <c r="E45" s="196">
        <f t="shared" ref="E45:R45" si="1">SUM(E5:E44)</f>
        <v>1900000</v>
      </c>
      <c r="F45" s="196">
        <f t="shared" si="1"/>
        <v>1430000</v>
      </c>
      <c r="G45" s="196">
        <f t="shared" si="1"/>
        <v>2400000</v>
      </c>
      <c r="H45" s="196">
        <f t="shared" si="1"/>
        <v>590000</v>
      </c>
      <c r="I45" s="196">
        <f t="shared" si="1"/>
        <v>8366000</v>
      </c>
      <c r="J45" s="196">
        <f t="shared" si="1"/>
        <v>4602000</v>
      </c>
      <c r="K45" s="196">
        <f t="shared" si="1"/>
        <v>97893120</v>
      </c>
      <c r="L45" s="196">
        <f t="shared" si="1"/>
        <v>3830400</v>
      </c>
      <c r="M45" s="196">
        <f t="shared" si="1"/>
        <v>3830400</v>
      </c>
      <c r="N45" s="196">
        <f t="shared" si="1"/>
        <v>3488400</v>
      </c>
      <c r="O45" s="196">
        <f t="shared" si="1"/>
        <v>78965250</v>
      </c>
      <c r="P45" s="196">
        <f t="shared" si="1"/>
        <v>1155420</v>
      </c>
      <c r="Q45" s="196">
        <f t="shared" si="1"/>
        <v>3656250</v>
      </c>
      <c r="R45" s="196">
        <f t="shared" si="1"/>
        <v>96600000</v>
      </c>
      <c r="S45" s="196">
        <f t="shared" ref="S45:T45" si="2">SUM(S5:S44)</f>
        <v>29304000</v>
      </c>
      <c r="T45" s="196">
        <f t="shared" si="2"/>
        <v>2832720</v>
      </c>
      <c r="U45" s="196">
        <f>SUM(U5:U44)</f>
        <v>340843960</v>
      </c>
      <c r="V45" s="388"/>
    </row>
    <row r="46" spans="3:22" x14ac:dyDescent="0.25">
      <c r="C46" s="867" t="s">
        <v>282</v>
      </c>
      <c r="D46" s="867"/>
      <c r="E46" s="196">
        <f t="shared" ref="E46:R46" si="3">E45*0.16</f>
        <v>304000</v>
      </c>
      <c r="F46" s="196">
        <f t="shared" si="3"/>
        <v>228800</v>
      </c>
      <c r="G46" s="196">
        <f t="shared" si="3"/>
        <v>384000</v>
      </c>
      <c r="H46" s="196">
        <f t="shared" si="3"/>
        <v>94400</v>
      </c>
      <c r="I46" s="196">
        <f t="shared" si="3"/>
        <v>1338560</v>
      </c>
      <c r="J46" s="196">
        <f t="shared" si="3"/>
        <v>736320</v>
      </c>
      <c r="K46" s="196">
        <f t="shared" si="3"/>
        <v>15662899.200000001</v>
      </c>
      <c r="L46" s="196">
        <f t="shared" si="3"/>
        <v>612864</v>
      </c>
      <c r="M46" s="196">
        <f t="shared" si="3"/>
        <v>612864</v>
      </c>
      <c r="N46" s="196">
        <f t="shared" si="3"/>
        <v>558144</v>
      </c>
      <c r="O46" s="196">
        <f t="shared" si="3"/>
        <v>12634440</v>
      </c>
      <c r="P46" s="196">
        <f t="shared" si="3"/>
        <v>184867.20000000001</v>
      </c>
      <c r="Q46" s="196">
        <f t="shared" si="3"/>
        <v>585000</v>
      </c>
      <c r="R46" s="196">
        <f t="shared" si="3"/>
        <v>15456000</v>
      </c>
      <c r="S46" s="196">
        <f t="shared" ref="S46:T46" si="4">S45*0.16</f>
        <v>4688640</v>
      </c>
      <c r="T46" s="196">
        <f t="shared" si="4"/>
        <v>453235.20000000001</v>
      </c>
      <c r="U46" s="196">
        <f>U45*0.16</f>
        <v>54535033.600000001</v>
      </c>
      <c r="V46" s="191"/>
    </row>
    <row r="47" spans="3:22" x14ac:dyDescent="0.25">
      <c r="C47" s="867" t="s">
        <v>298</v>
      </c>
      <c r="D47" s="867"/>
      <c r="E47" s="196">
        <f t="shared" ref="E47:R47" si="5">SUM(E45:E46)</f>
        <v>2204000</v>
      </c>
      <c r="F47" s="196">
        <f t="shared" si="5"/>
        <v>1658800</v>
      </c>
      <c r="G47" s="196">
        <f t="shared" si="5"/>
        <v>2784000</v>
      </c>
      <c r="H47" s="196">
        <f t="shared" si="5"/>
        <v>684400</v>
      </c>
      <c r="I47" s="196">
        <f t="shared" si="5"/>
        <v>9704560</v>
      </c>
      <c r="J47" s="196">
        <f t="shared" si="5"/>
        <v>5338320</v>
      </c>
      <c r="K47" s="196">
        <f t="shared" si="5"/>
        <v>113556019.2</v>
      </c>
      <c r="L47" s="196">
        <f t="shared" si="5"/>
        <v>4443264</v>
      </c>
      <c r="M47" s="196">
        <f t="shared" si="5"/>
        <v>4443264</v>
      </c>
      <c r="N47" s="196">
        <f t="shared" si="5"/>
        <v>4046544</v>
      </c>
      <c r="O47" s="196">
        <f t="shared" si="5"/>
        <v>91599690</v>
      </c>
      <c r="P47" s="196">
        <f t="shared" si="5"/>
        <v>1340287.2</v>
      </c>
      <c r="Q47" s="196">
        <f t="shared" si="5"/>
        <v>4241250</v>
      </c>
      <c r="R47" s="196">
        <f t="shared" si="5"/>
        <v>112056000</v>
      </c>
      <c r="S47" s="196">
        <f t="shared" ref="S47:T47" si="6">SUM(S45:S46)</f>
        <v>33992640</v>
      </c>
      <c r="T47" s="196">
        <f t="shared" si="6"/>
        <v>3285955.2</v>
      </c>
      <c r="U47" s="196">
        <f>SUM(U45:U46)</f>
        <v>395378993.60000002</v>
      </c>
      <c r="V47" s="191"/>
    </row>
  </sheetData>
  <mergeCells count="4">
    <mergeCell ref="C45:D45"/>
    <mergeCell ref="C46:D46"/>
    <mergeCell ref="C47:D47"/>
    <mergeCell ref="C3:U3"/>
  </mergeCells>
  <pageMargins left="0.7" right="0.7" top="0.75" bottom="0.75" header="0.3" footer="0.3"/>
  <pageSetup paperSize="5"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rgb="FF00B0F0"/>
  </sheetPr>
  <dimension ref="C2:U48"/>
  <sheetViews>
    <sheetView view="pageLayout" topLeftCell="D1" zoomScaleNormal="100" workbookViewId="0">
      <selection activeCell="T44" sqref="T44"/>
    </sheetView>
  </sheetViews>
  <sheetFormatPr baseColWidth="10" defaultRowHeight="15" x14ac:dyDescent="0.25"/>
  <cols>
    <col min="1" max="2" width="11.42578125" style="113"/>
    <col min="3" max="3" width="3.42578125" style="113" bestFit="1" customWidth="1"/>
    <col min="4" max="4" width="19.7109375" style="113" customWidth="1"/>
    <col min="5" max="5" width="9.5703125" style="141" customWidth="1"/>
    <col min="6" max="6" width="10" style="113" customWidth="1"/>
    <col min="7" max="7" width="9" style="113" customWidth="1"/>
    <col min="8" max="8" width="10.28515625" style="113" customWidth="1"/>
    <col min="9" max="9" width="9.7109375" style="113" customWidth="1"/>
    <col min="10" max="10" width="9.5703125" style="10" customWidth="1"/>
    <col min="11" max="18" width="10.5703125" style="113" customWidth="1"/>
    <col min="19" max="19" width="10.5703125" style="10" customWidth="1"/>
    <col min="20" max="20" width="14.28515625" style="113" customWidth="1"/>
    <col min="21" max="16384" width="11.42578125" style="113"/>
  </cols>
  <sheetData>
    <row r="2" spans="3:20" x14ac:dyDescent="0.25">
      <c r="C2" s="867" t="s">
        <v>1403</v>
      </c>
      <c r="D2" s="867"/>
      <c r="E2" s="867"/>
      <c r="F2" s="867"/>
      <c r="G2" s="867"/>
      <c r="H2" s="867"/>
      <c r="I2" s="867"/>
      <c r="J2" s="867"/>
      <c r="K2" s="867"/>
      <c r="L2" s="867"/>
      <c r="M2" s="867"/>
      <c r="N2" s="867"/>
      <c r="O2" s="867"/>
      <c r="P2" s="867"/>
      <c r="Q2" s="867"/>
      <c r="R2" s="867"/>
      <c r="S2" s="867"/>
      <c r="T2" s="867"/>
    </row>
    <row r="3" spans="3:20" ht="61.5" customHeight="1" x14ac:dyDescent="0.25">
      <c r="C3" s="965" t="s">
        <v>472</v>
      </c>
      <c r="D3" s="874" t="s">
        <v>287</v>
      </c>
      <c r="E3" s="973" t="s">
        <v>1628</v>
      </c>
      <c r="F3" s="973" t="s">
        <v>1571</v>
      </c>
      <c r="G3" s="973" t="s">
        <v>1601</v>
      </c>
      <c r="H3" s="973" t="s">
        <v>675</v>
      </c>
      <c r="I3" s="973" t="s">
        <v>1607</v>
      </c>
      <c r="J3" s="973" t="s">
        <v>1614</v>
      </c>
      <c r="K3" s="973" t="s">
        <v>1616</v>
      </c>
      <c r="L3" s="973" t="s">
        <v>1660</v>
      </c>
      <c r="M3" s="973" t="s">
        <v>1661</v>
      </c>
      <c r="N3" s="973" t="s">
        <v>1662</v>
      </c>
      <c r="O3" s="973" t="s">
        <v>1837</v>
      </c>
      <c r="P3" s="973" t="s">
        <v>496</v>
      </c>
      <c r="Q3" s="973" t="s">
        <v>1453</v>
      </c>
      <c r="R3" s="973" t="s">
        <v>497</v>
      </c>
      <c r="S3" s="973" t="s">
        <v>1615</v>
      </c>
      <c r="T3" s="874" t="s">
        <v>298</v>
      </c>
    </row>
    <row r="4" spans="3:20" x14ac:dyDescent="0.25">
      <c r="C4" s="931"/>
      <c r="D4" s="876"/>
      <c r="E4" s="974"/>
      <c r="F4" s="974"/>
      <c r="G4" s="974"/>
      <c r="H4" s="974"/>
      <c r="I4" s="974"/>
      <c r="J4" s="974"/>
      <c r="K4" s="974"/>
      <c r="L4" s="974"/>
      <c r="M4" s="974"/>
      <c r="N4" s="974"/>
      <c r="O4" s="974"/>
      <c r="P4" s="974"/>
      <c r="Q4" s="974"/>
      <c r="R4" s="974"/>
      <c r="S4" s="974"/>
      <c r="T4" s="876"/>
    </row>
    <row r="5" spans="3:20" ht="14.1" customHeight="1" x14ac:dyDescent="0.25">
      <c r="C5" s="516">
        <v>1</v>
      </c>
      <c r="D5" s="147" t="s">
        <v>241</v>
      </c>
      <c r="E5" s="204">
        <v>0</v>
      </c>
      <c r="F5" s="204">
        <v>0</v>
      </c>
      <c r="G5" s="204">
        <v>104000</v>
      </c>
      <c r="H5" s="204">
        <v>0</v>
      </c>
      <c r="I5" s="204">
        <v>0</v>
      </c>
      <c r="J5" s="204">
        <v>0</v>
      </c>
      <c r="K5" s="204">
        <v>0</v>
      </c>
      <c r="L5" s="204"/>
      <c r="M5" s="204"/>
      <c r="N5" s="204">
        <v>484250</v>
      </c>
      <c r="O5" s="204">
        <v>0</v>
      </c>
      <c r="P5" s="204">
        <v>0</v>
      </c>
      <c r="Q5" s="204">
        <v>0</v>
      </c>
      <c r="R5" s="204">
        <v>5000000</v>
      </c>
      <c r="S5" s="204">
        <v>0</v>
      </c>
      <c r="T5" s="204">
        <f t="shared" ref="T5:T45" si="0">SUM(E5:S5)</f>
        <v>5588250</v>
      </c>
    </row>
    <row r="6" spans="3:20" ht="14.1" customHeight="1" x14ac:dyDescent="0.25">
      <c r="C6" s="516">
        <v>2</v>
      </c>
      <c r="D6" s="147" t="s">
        <v>242</v>
      </c>
      <c r="E6" s="204">
        <v>4270000</v>
      </c>
      <c r="F6" s="204">
        <v>5106000</v>
      </c>
      <c r="G6" s="204">
        <v>208000</v>
      </c>
      <c r="H6" s="204">
        <v>14000000</v>
      </c>
      <c r="I6" s="204">
        <v>409500</v>
      </c>
      <c r="J6" s="204">
        <v>429000</v>
      </c>
      <c r="K6" s="204">
        <v>370500</v>
      </c>
      <c r="L6" s="204">
        <v>49500</v>
      </c>
      <c r="M6" s="204">
        <v>1500000</v>
      </c>
      <c r="N6" s="204">
        <v>3389750</v>
      </c>
      <c r="O6" s="204">
        <v>874478</v>
      </c>
      <c r="P6" s="204">
        <v>500370.51999999996</v>
      </c>
      <c r="Q6" s="204">
        <v>650000</v>
      </c>
      <c r="R6" s="204">
        <v>5000000</v>
      </c>
      <c r="S6" s="204">
        <v>468000</v>
      </c>
      <c r="T6" s="204">
        <f t="shared" si="0"/>
        <v>37225098.519999996</v>
      </c>
    </row>
    <row r="7" spans="3:20" ht="14.1" customHeight="1" x14ac:dyDescent="0.25">
      <c r="C7" s="516">
        <v>3</v>
      </c>
      <c r="D7" s="147" t="s">
        <v>243</v>
      </c>
      <c r="E7" s="204">
        <v>0</v>
      </c>
      <c r="F7" s="204">
        <v>0</v>
      </c>
      <c r="G7" s="204">
        <v>0</v>
      </c>
      <c r="H7" s="204">
        <v>0</v>
      </c>
      <c r="I7" s="204">
        <v>0</v>
      </c>
      <c r="J7" s="204">
        <v>0</v>
      </c>
      <c r="K7" s="204">
        <v>0</v>
      </c>
      <c r="L7" s="204"/>
      <c r="M7" s="204"/>
      <c r="N7" s="204">
        <v>484250</v>
      </c>
      <c r="O7" s="204">
        <v>0</v>
      </c>
      <c r="P7" s="204">
        <v>0</v>
      </c>
      <c r="Q7" s="204">
        <v>650000</v>
      </c>
      <c r="R7" s="204">
        <v>0</v>
      </c>
      <c r="S7" s="204">
        <v>0</v>
      </c>
      <c r="T7" s="204">
        <f t="shared" si="0"/>
        <v>1134250</v>
      </c>
    </row>
    <row r="8" spans="3:20" ht="14.1" customHeight="1" x14ac:dyDescent="0.25">
      <c r="C8" s="516">
        <v>4</v>
      </c>
      <c r="D8" s="147" t="s">
        <v>244</v>
      </c>
      <c r="E8" s="204">
        <v>0</v>
      </c>
      <c r="F8" s="204">
        <v>0</v>
      </c>
      <c r="G8" s="204">
        <v>0</v>
      </c>
      <c r="H8" s="204">
        <v>0</v>
      </c>
      <c r="I8" s="204">
        <v>0</v>
      </c>
      <c r="J8" s="204">
        <v>0</v>
      </c>
      <c r="K8" s="204">
        <v>0</v>
      </c>
      <c r="L8" s="204"/>
      <c r="M8" s="204"/>
      <c r="N8" s="204">
        <v>484250</v>
      </c>
      <c r="O8" s="204">
        <v>0</v>
      </c>
      <c r="P8" s="204">
        <v>0</v>
      </c>
      <c r="Q8" s="204">
        <v>650000</v>
      </c>
      <c r="R8" s="204">
        <v>5000000</v>
      </c>
      <c r="S8" s="204">
        <v>0</v>
      </c>
      <c r="T8" s="204">
        <f t="shared" si="0"/>
        <v>6134250</v>
      </c>
    </row>
    <row r="9" spans="3:20" ht="14.1" customHeight="1" x14ac:dyDescent="0.25">
      <c r="C9" s="516">
        <v>5</v>
      </c>
      <c r="D9" s="147" t="s">
        <v>245</v>
      </c>
      <c r="E9" s="204">
        <v>0</v>
      </c>
      <c r="F9" s="204">
        <v>0</v>
      </c>
      <c r="G9" s="204">
        <v>104000</v>
      </c>
      <c r="H9" s="204">
        <v>0</v>
      </c>
      <c r="I9" s="204">
        <v>0</v>
      </c>
      <c r="J9" s="204">
        <v>0</v>
      </c>
      <c r="K9" s="204">
        <v>0</v>
      </c>
      <c r="L9" s="204"/>
      <c r="M9" s="204"/>
      <c r="N9" s="204">
        <v>968500</v>
      </c>
      <c r="O9" s="204">
        <v>0</v>
      </c>
      <c r="P9" s="204">
        <v>0</v>
      </c>
      <c r="Q9" s="204">
        <v>0</v>
      </c>
      <c r="R9" s="204">
        <v>0</v>
      </c>
      <c r="S9" s="204">
        <v>0</v>
      </c>
      <c r="T9" s="204">
        <f t="shared" si="0"/>
        <v>1072500</v>
      </c>
    </row>
    <row r="10" spans="3:20" ht="14.1" customHeight="1" x14ac:dyDescent="0.25">
      <c r="C10" s="516">
        <v>6</v>
      </c>
      <c r="D10" s="147" t="s">
        <v>246</v>
      </c>
      <c r="E10" s="204">
        <v>0</v>
      </c>
      <c r="F10" s="204">
        <v>0</v>
      </c>
      <c r="G10" s="204">
        <v>0</v>
      </c>
      <c r="H10" s="204">
        <v>0</v>
      </c>
      <c r="I10" s="204">
        <v>0</v>
      </c>
      <c r="J10" s="204">
        <v>0</v>
      </c>
      <c r="K10" s="204">
        <v>0</v>
      </c>
      <c r="L10" s="204"/>
      <c r="M10" s="204"/>
      <c r="N10" s="204">
        <v>484250</v>
      </c>
      <c r="O10" s="204">
        <v>0</v>
      </c>
      <c r="P10" s="204">
        <v>0</v>
      </c>
      <c r="Q10" s="204">
        <v>650000</v>
      </c>
      <c r="R10" s="204">
        <v>0</v>
      </c>
      <c r="S10" s="204">
        <v>0</v>
      </c>
      <c r="T10" s="204">
        <f t="shared" si="0"/>
        <v>1134250</v>
      </c>
    </row>
    <row r="11" spans="3:20" ht="14.1" customHeight="1" x14ac:dyDescent="0.25">
      <c r="C11" s="516">
        <v>7</v>
      </c>
      <c r="D11" s="193" t="s">
        <v>247</v>
      </c>
      <c r="E11" s="204">
        <v>0</v>
      </c>
      <c r="F11" s="204">
        <v>0</v>
      </c>
      <c r="G11" s="204">
        <v>0</v>
      </c>
      <c r="H11" s="204">
        <v>0</v>
      </c>
      <c r="I11" s="204">
        <v>0</v>
      </c>
      <c r="J11" s="204">
        <v>0</v>
      </c>
      <c r="K11" s="204">
        <v>0</v>
      </c>
      <c r="L11" s="204"/>
      <c r="M11" s="204"/>
      <c r="N11" s="204">
        <v>484250</v>
      </c>
      <c r="O11" s="204">
        <v>0</v>
      </c>
      <c r="P11" s="204">
        <v>0</v>
      </c>
      <c r="Q11" s="204">
        <v>0</v>
      </c>
      <c r="R11" s="204">
        <v>0</v>
      </c>
      <c r="S11" s="204">
        <v>0</v>
      </c>
      <c r="T11" s="204">
        <f t="shared" si="0"/>
        <v>484250</v>
      </c>
    </row>
    <row r="12" spans="3:20" ht="14.1" customHeight="1" x14ac:dyDescent="0.25">
      <c r="C12" s="516">
        <v>8</v>
      </c>
      <c r="D12" s="147" t="s">
        <v>248</v>
      </c>
      <c r="E12" s="204">
        <v>0</v>
      </c>
      <c r="F12" s="204">
        <v>0</v>
      </c>
      <c r="G12" s="204">
        <v>104000</v>
      </c>
      <c r="H12" s="204">
        <v>0</v>
      </c>
      <c r="I12" s="204">
        <v>0</v>
      </c>
      <c r="J12" s="204">
        <v>0</v>
      </c>
      <c r="K12" s="204">
        <v>0</v>
      </c>
      <c r="L12" s="204"/>
      <c r="M12" s="204"/>
      <c r="N12" s="204">
        <v>968500</v>
      </c>
      <c r="O12" s="204">
        <v>0</v>
      </c>
      <c r="P12" s="204">
        <v>0</v>
      </c>
      <c r="Q12" s="204">
        <v>650000</v>
      </c>
      <c r="R12" s="204">
        <v>5000000</v>
      </c>
      <c r="S12" s="204">
        <v>0</v>
      </c>
      <c r="T12" s="204">
        <f t="shared" si="0"/>
        <v>6722500</v>
      </c>
    </row>
    <row r="13" spans="3:20" ht="14.1" customHeight="1" x14ac:dyDescent="0.25">
      <c r="C13" s="516">
        <v>9</v>
      </c>
      <c r="D13" s="193" t="s">
        <v>249</v>
      </c>
      <c r="E13" s="204">
        <v>0</v>
      </c>
      <c r="F13" s="204">
        <v>0</v>
      </c>
      <c r="G13" s="204">
        <v>0</v>
      </c>
      <c r="H13" s="204">
        <v>0</v>
      </c>
      <c r="I13" s="204">
        <v>0</v>
      </c>
      <c r="J13" s="204">
        <v>0</v>
      </c>
      <c r="K13" s="204">
        <v>0</v>
      </c>
      <c r="L13" s="204"/>
      <c r="M13" s="204"/>
      <c r="N13" s="204">
        <v>484250</v>
      </c>
      <c r="O13" s="204">
        <v>0</v>
      </c>
      <c r="P13" s="204">
        <v>0</v>
      </c>
      <c r="Q13" s="204">
        <v>0</v>
      </c>
      <c r="R13" s="204">
        <v>0</v>
      </c>
      <c r="S13" s="204">
        <v>0</v>
      </c>
      <c r="T13" s="204">
        <f t="shared" si="0"/>
        <v>484250</v>
      </c>
    </row>
    <row r="14" spans="3:20" ht="14.1" customHeight="1" x14ac:dyDescent="0.25">
      <c r="C14" s="516">
        <v>10</v>
      </c>
      <c r="D14" s="147" t="s">
        <v>250</v>
      </c>
      <c r="E14" s="204">
        <v>0</v>
      </c>
      <c r="F14" s="204">
        <v>0</v>
      </c>
      <c r="G14" s="204">
        <v>0</v>
      </c>
      <c r="H14" s="204">
        <v>0</v>
      </c>
      <c r="I14" s="204">
        <v>0</v>
      </c>
      <c r="J14" s="204">
        <v>0</v>
      </c>
      <c r="K14" s="204">
        <v>0</v>
      </c>
      <c r="L14" s="204"/>
      <c r="M14" s="204"/>
      <c r="N14" s="204">
        <v>484250</v>
      </c>
      <c r="O14" s="204">
        <v>0</v>
      </c>
      <c r="P14" s="204">
        <v>0</v>
      </c>
      <c r="Q14" s="204">
        <v>650000</v>
      </c>
      <c r="R14" s="204">
        <v>0</v>
      </c>
      <c r="S14" s="204">
        <v>0</v>
      </c>
      <c r="T14" s="204">
        <f t="shared" si="0"/>
        <v>1134250</v>
      </c>
    </row>
    <row r="15" spans="3:20" ht="14.1" customHeight="1" x14ac:dyDescent="0.25">
      <c r="C15" s="516">
        <v>11</v>
      </c>
      <c r="D15" s="147" t="s">
        <v>251</v>
      </c>
      <c r="E15" s="204">
        <v>0</v>
      </c>
      <c r="F15" s="204">
        <v>0</v>
      </c>
      <c r="G15" s="204">
        <v>104000</v>
      </c>
      <c r="H15" s="204">
        <v>0</v>
      </c>
      <c r="I15" s="204">
        <v>0</v>
      </c>
      <c r="J15" s="204">
        <v>0</v>
      </c>
      <c r="K15" s="204">
        <v>0</v>
      </c>
      <c r="L15" s="204"/>
      <c r="M15" s="204"/>
      <c r="N15" s="204">
        <v>484250</v>
      </c>
      <c r="O15" s="204">
        <v>0</v>
      </c>
      <c r="P15" s="204">
        <v>0</v>
      </c>
      <c r="Q15" s="204">
        <v>0</v>
      </c>
      <c r="R15" s="204">
        <v>0</v>
      </c>
      <c r="S15" s="204">
        <v>0</v>
      </c>
      <c r="T15" s="204">
        <f t="shared" si="0"/>
        <v>588250</v>
      </c>
    </row>
    <row r="16" spans="3:20" ht="14.1" customHeight="1" x14ac:dyDescent="0.25">
      <c r="C16" s="516">
        <v>12</v>
      </c>
      <c r="D16" s="147" t="s">
        <v>252</v>
      </c>
      <c r="E16" s="204">
        <v>0</v>
      </c>
      <c r="F16" s="204">
        <v>0</v>
      </c>
      <c r="G16" s="204">
        <v>104000</v>
      </c>
      <c r="H16" s="204">
        <v>0</v>
      </c>
      <c r="I16" s="204">
        <v>0</v>
      </c>
      <c r="J16" s="204">
        <v>0</v>
      </c>
      <c r="K16" s="204">
        <v>0</v>
      </c>
      <c r="L16" s="204"/>
      <c r="M16" s="204"/>
      <c r="N16" s="204">
        <v>484250</v>
      </c>
      <c r="O16" s="204">
        <v>0</v>
      </c>
      <c r="P16" s="204">
        <v>0</v>
      </c>
      <c r="Q16" s="204">
        <v>0</v>
      </c>
      <c r="R16" s="204">
        <v>0</v>
      </c>
      <c r="S16" s="204">
        <v>0</v>
      </c>
      <c r="T16" s="204">
        <f t="shared" si="0"/>
        <v>588250</v>
      </c>
    </row>
    <row r="17" spans="3:20" ht="14.1" customHeight="1" x14ac:dyDescent="0.25">
      <c r="C17" s="516">
        <v>13</v>
      </c>
      <c r="D17" s="147" t="s">
        <v>253</v>
      </c>
      <c r="E17" s="204">
        <v>0</v>
      </c>
      <c r="F17" s="204">
        <v>0</v>
      </c>
      <c r="G17" s="204">
        <v>0</v>
      </c>
      <c r="H17" s="204">
        <v>0</v>
      </c>
      <c r="I17" s="204">
        <v>0</v>
      </c>
      <c r="J17" s="204">
        <v>0</v>
      </c>
      <c r="K17" s="204">
        <v>0</v>
      </c>
      <c r="L17" s="204"/>
      <c r="M17" s="204"/>
      <c r="N17" s="204">
        <v>484250</v>
      </c>
      <c r="O17" s="204">
        <v>0</v>
      </c>
      <c r="P17" s="204">
        <v>0</v>
      </c>
      <c r="Q17" s="204">
        <v>0</v>
      </c>
      <c r="R17" s="204">
        <v>0</v>
      </c>
      <c r="S17" s="204">
        <v>0</v>
      </c>
      <c r="T17" s="204">
        <f t="shared" si="0"/>
        <v>484250</v>
      </c>
    </row>
    <row r="18" spans="3:20" ht="14.1" customHeight="1" x14ac:dyDescent="0.25">
      <c r="C18" s="516">
        <v>14</v>
      </c>
      <c r="D18" s="193" t="s">
        <v>254</v>
      </c>
      <c r="E18" s="204">
        <v>0</v>
      </c>
      <c r="F18" s="204">
        <v>0</v>
      </c>
      <c r="G18" s="204">
        <v>0</v>
      </c>
      <c r="H18" s="204">
        <v>0</v>
      </c>
      <c r="I18" s="204">
        <v>0</v>
      </c>
      <c r="J18" s="204">
        <v>0</v>
      </c>
      <c r="K18" s="204">
        <v>0</v>
      </c>
      <c r="L18" s="204"/>
      <c r="M18" s="204"/>
      <c r="N18" s="204">
        <v>484250</v>
      </c>
      <c r="O18" s="204">
        <v>0</v>
      </c>
      <c r="P18" s="204">
        <v>0</v>
      </c>
      <c r="Q18" s="204">
        <v>0</v>
      </c>
      <c r="R18" s="204">
        <v>0</v>
      </c>
      <c r="S18" s="204">
        <v>0</v>
      </c>
      <c r="T18" s="204">
        <f t="shared" si="0"/>
        <v>484250</v>
      </c>
    </row>
    <row r="19" spans="3:20" ht="14.1" customHeight="1" x14ac:dyDescent="0.25">
      <c r="C19" s="516">
        <v>15</v>
      </c>
      <c r="D19" s="147" t="s">
        <v>255</v>
      </c>
      <c r="E19" s="204">
        <v>0</v>
      </c>
      <c r="F19" s="204">
        <v>0</v>
      </c>
      <c r="G19" s="204">
        <v>0</v>
      </c>
      <c r="H19" s="204">
        <v>0</v>
      </c>
      <c r="I19" s="204">
        <v>0</v>
      </c>
      <c r="J19" s="204">
        <v>0</v>
      </c>
      <c r="K19" s="204">
        <v>0</v>
      </c>
      <c r="L19" s="204"/>
      <c r="M19" s="204"/>
      <c r="N19" s="204">
        <v>484250</v>
      </c>
      <c r="O19" s="204">
        <v>0</v>
      </c>
      <c r="P19" s="204">
        <v>0</v>
      </c>
      <c r="Q19" s="204">
        <v>650000</v>
      </c>
      <c r="R19" s="204">
        <v>0</v>
      </c>
      <c r="S19" s="204">
        <v>0</v>
      </c>
      <c r="T19" s="204">
        <f t="shared" si="0"/>
        <v>1134250</v>
      </c>
    </row>
    <row r="20" spans="3:20" ht="14.1" customHeight="1" x14ac:dyDescent="0.25">
      <c r="C20" s="516">
        <v>16</v>
      </c>
      <c r="D20" s="147" t="s">
        <v>256</v>
      </c>
      <c r="E20" s="204">
        <v>0</v>
      </c>
      <c r="F20" s="204">
        <v>0</v>
      </c>
      <c r="G20" s="204">
        <v>104000</v>
      </c>
      <c r="H20" s="204">
        <v>0</v>
      </c>
      <c r="I20" s="204">
        <v>0</v>
      </c>
      <c r="J20" s="204">
        <v>0</v>
      </c>
      <c r="K20" s="204">
        <v>0</v>
      </c>
      <c r="L20" s="204"/>
      <c r="M20" s="204"/>
      <c r="N20" s="204">
        <v>968500</v>
      </c>
      <c r="O20" s="204">
        <v>0</v>
      </c>
      <c r="P20" s="204">
        <v>0</v>
      </c>
      <c r="Q20" s="204">
        <v>0</v>
      </c>
      <c r="R20" s="204">
        <v>0</v>
      </c>
      <c r="S20" s="204">
        <v>0</v>
      </c>
      <c r="T20" s="204">
        <f t="shared" si="0"/>
        <v>1072500</v>
      </c>
    </row>
    <row r="21" spans="3:20" ht="14.1" customHeight="1" x14ac:dyDescent="0.25">
      <c r="C21" s="516">
        <v>17</v>
      </c>
      <c r="D21" s="147" t="s">
        <v>257</v>
      </c>
      <c r="E21" s="204">
        <v>0</v>
      </c>
      <c r="F21" s="204">
        <v>0</v>
      </c>
      <c r="G21" s="204">
        <v>104000</v>
      </c>
      <c r="H21" s="204">
        <v>0</v>
      </c>
      <c r="I21" s="204">
        <v>0</v>
      </c>
      <c r="J21" s="204">
        <v>0</v>
      </c>
      <c r="K21" s="204">
        <v>0</v>
      </c>
      <c r="L21" s="204"/>
      <c r="M21" s="204"/>
      <c r="N21" s="204">
        <v>968500</v>
      </c>
      <c r="O21" s="204">
        <v>0</v>
      </c>
      <c r="P21" s="204">
        <v>0</v>
      </c>
      <c r="Q21" s="204">
        <v>0</v>
      </c>
      <c r="R21" s="204">
        <v>5000000</v>
      </c>
      <c r="S21" s="204">
        <v>0</v>
      </c>
      <c r="T21" s="204">
        <f t="shared" si="0"/>
        <v>6072500</v>
      </c>
    </row>
    <row r="22" spans="3:20" ht="14.1" customHeight="1" x14ac:dyDescent="0.25">
      <c r="C22" s="516">
        <v>18</v>
      </c>
      <c r="D22" s="147" t="s">
        <v>258</v>
      </c>
      <c r="E22" s="204">
        <v>0</v>
      </c>
      <c r="F22" s="204">
        <v>0</v>
      </c>
      <c r="G22" s="204">
        <v>0</v>
      </c>
      <c r="H22" s="204">
        <v>0</v>
      </c>
      <c r="I22" s="204">
        <v>0</v>
      </c>
      <c r="J22" s="204">
        <v>0</v>
      </c>
      <c r="K22" s="204">
        <v>0</v>
      </c>
      <c r="L22" s="204"/>
      <c r="M22" s="204"/>
      <c r="N22" s="204">
        <v>484250</v>
      </c>
      <c r="O22" s="204">
        <v>0</v>
      </c>
      <c r="P22" s="204">
        <v>0</v>
      </c>
      <c r="Q22" s="204">
        <v>650000</v>
      </c>
      <c r="R22" s="204">
        <v>0</v>
      </c>
      <c r="S22" s="204">
        <v>0</v>
      </c>
      <c r="T22" s="204">
        <f t="shared" si="0"/>
        <v>1134250</v>
      </c>
    </row>
    <row r="23" spans="3:20" ht="14.1" customHeight="1" x14ac:dyDescent="0.25">
      <c r="C23" s="516">
        <v>19</v>
      </c>
      <c r="D23" s="147" t="s">
        <v>259</v>
      </c>
      <c r="E23" s="204">
        <v>4270000</v>
      </c>
      <c r="F23" s="204">
        <v>0</v>
      </c>
      <c r="G23" s="204">
        <v>208000</v>
      </c>
      <c r="H23" s="204">
        <v>14000000</v>
      </c>
      <c r="I23" s="204">
        <v>409500</v>
      </c>
      <c r="J23" s="204">
        <v>429000</v>
      </c>
      <c r="K23" s="204">
        <v>370500</v>
      </c>
      <c r="L23" s="204">
        <v>49500</v>
      </c>
      <c r="M23" s="204">
        <v>1500000</v>
      </c>
      <c r="N23" s="204">
        <v>484250</v>
      </c>
      <c r="O23" s="204">
        <v>874478</v>
      </c>
      <c r="P23" s="204">
        <v>500370.51999999996</v>
      </c>
      <c r="Q23" s="204">
        <v>650000</v>
      </c>
      <c r="R23" s="204">
        <v>0</v>
      </c>
      <c r="S23" s="204">
        <v>468000</v>
      </c>
      <c r="T23" s="204">
        <f t="shared" si="0"/>
        <v>24213598.52</v>
      </c>
    </row>
    <row r="24" spans="3:20" ht="14.1" customHeight="1" x14ac:dyDescent="0.25">
      <c r="C24" s="516">
        <v>20</v>
      </c>
      <c r="D24" s="147" t="s">
        <v>260</v>
      </c>
      <c r="E24" s="204">
        <v>0</v>
      </c>
      <c r="F24" s="204">
        <v>0</v>
      </c>
      <c r="G24" s="204">
        <v>0</v>
      </c>
      <c r="H24" s="204">
        <v>0</v>
      </c>
      <c r="I24" s="204">
        <v>0</v>
      </c>
      <c r="J24" s="204">
        <v>0</v>
      </c>
      <c r="K24" s="204">
        <v>0</v>
      </c>
      <c r="L24" s="204"/>
      <c r="M24" s="204"/>
      <c r="N24" s="204">
        <v>484250</v>
      </c>
      <c r="O24" s="204">
        <v>0</v>
      </c>
      <c r="P24" s="204">
        <v>0</v>
      </c>
      <c r="Q24" s="204">
        <v>0</v>
      </c>
      <c r="R24" s="204">
        <v>0</v>
      </c>
      <c r="S24" s="204">
        <v>0</v>
      </c>
      <c r="T24" s="204">
        <f t="shared" si="0"/>
        <v>484250</v>
      </c>
    </row>
    <row r="25" spans="3:20" ht="14.1" customHeight="1" x14ac:dyDescent="0.25">
      <c r="C25" s="516">
        <v>21</v>
      </c>
      <c r="D25" s="147" t="s">
        <v>261</v>
      </c>
      <c r="E25" s="204">
        <v>0</v>
      </c>
      <c r="F25" s="204">
        <v>0</v>
      </c>
      <c r="G25" s="204">
        <v>104000</v>
      </c>
      <c r="H25" s="204">
        <v>0</v>
      </c>
      <c r="I25" s="204">
        <v>0</v>
      </c>
      <c r="J25" s="204">
        <v>0</v>
      </c>
      <c r="K25" s="204">
        <v>0</v>
      </c>
      <c r="L25" s="204"/>
      <c r="M25" s="204"/>
      <c r="N25" s="204">
        <v>484250</v>
      </c>
      <c r="O25" s="204">
        <v>0</v>
      </c>
      <c r="P25" s="204">
        <v>0</v>
      </c>
      <c r="Q25" s="204">
        <v>650000</v>
      </c>
      <c r="R25" s="204">
        <v>5000000</v>
      </c>
      <c r="S25" s="204">
        <v>0</v>
      </c>
      <c r="T25" s="204">
        <f t="shared" si="0"/>
        <v>6238250</v>
      </c>
    </row>
    <row r="26" spans="3:20" ht="14.1" customHeight="1" x14ac:dyDescent="0.25">
      <c r="C26" s="516">
        <v>22</v>
      </c>
      <c r="D26" s="147" t="s">
        <v>262</v>
      </c>
      <c r="E26" s="204">
        <v>0</v>
      </c>
      <c r="F26" s="204">
        <v>0</v>
      </c>
      <c r="G26" s="204">
        <v>104000</v>
      </c>
      <c r="H26" s="204">
        <v>0</v>
      </c>
      <c r="I26" s="204">
        <v>0</v>
      </c>
      <c r="J26" s="204">
        <v>0</v>
      </c>
      <c r="K26" s="204">
        <v>0</v>
      </c>
      <c r="L26" s="204"/>
      <c r="M26" s="204"/>
      <c r="N26" s="204">
        <v>484250</v>
      </c>
      <c r="O26" s="204">
        <v>0</v>
      </c>
      <c r="P26" s="204">
        <v>0</v>
      </c>
      <c r="Q26" s="204">
        <v>0</v>
      </c>
      <c r="R26" s="204">
        <v>0</v>
      </c>
      <c r="S26" s="204">
        <v>0</v>
      </c>
      <c r="T26" s="204">
        <f t="shared" si="0"/>
        <v>588250</v>
      </c>
    </row>
    <row r="27" spans="3:20" ht="14.1" customHeight="1" x14ac:dyDescent="0.25">
      <c r="C27" s="516">
        <v>23</v>
      </c>
      <c r="D27" s="147" t="s">
        <v>263</v>
      </c>
      <c r="E27" s="204">
        <v>0</v>
      </c>
      <c r="F27" s="204">
        <v>0</v>
      </c>
      <c r="G27" s="204">
        <v>104000</v>
      </c>
      <c r="H27" s="204">
        <v>0</v>
      </c>
      <c r="I27" s="204">
        <v>0</v>
      </c>
      <c r="J27" s="204">
        <v>0</v>
      </c>
      <c r="K27" s="204">
        <v>0</v>
      </c>
      <c r="L27" s="204"/>
      <c r="M27" s="204"/>
      <c r="N27" s="204">
        <v>968500</v>
      </c>
      <c r="O27" s="204">
        <v>0</v>
      </c>
      <c r="P27" s="204">
        <v>0</v>
      </c>
      <c r="Q27" s="204">
        <v>0</v>
      </c>
      <c r="R27" s="204">
        <v>0</v>
      </c>
      <c r="S27" s="204">
        <v>0</v>
      </c>
      <c r="T27" s="204">
        <f t="shared" si="0"/>
        <v>1072500</v>
      </c>
    </row>
    <row r="28" spans="3:20" ht="14.1" customHeight="1" x14ac:dyDescent="0.25">
      <c r="C28" s="516">
        <v>24</v>
      </c>
      <c r="D28" s="147" t="s">
        <v>264</v>
      </c>
      <c r="E28" s="204">
        <v>0</v>
      </c>
      <c r="F28" s="204">
        <v>0</v>
      </c>
      <c r="G28" s="204">
        <v>0</v>
      </c>
      <c r="H28" s="204">
        <v>0</v>
      </c>
      <c r="I28" s="204">
        <v>0</v>
      </c>
      <c r="J28" s="204">
        <v>0</v>
      </c>
      <c r="K28" s="204">
        <v>0</v>
      </c>
      <c r="L28" s="204"/>
      <c r="M28" s="204"/>
      <c r="N28" s="204">
        <v>484250</v>
      </c>
      <c r="O28" s="204">
        <v>0</v>
      </c>
      <c r="P28" s="204">
        <v>0</v>
      </c>
      <c r="Q28" s="204">
        <v>0</v>
      </c>
      <c r="R28" s="204">
        <v>0</v>
      </c>
      <c r="S28" s="204">
        <v>0</v>
      </c>
      <c r="T28" s="204">
        <f t="shared" si="0"/>
        <v>484250</v>
      </c>
    </row>
    <row r="29" spans="3:20" ht="14.1" customHeight="1" x14ac:dyDescent="0.25">
      <c r="C29" s="516">
        <v>25</v>
      </c>
      <c r="D29" s="147" t="s">
        <v>265</v>
      </c>
      <c r="E29" s="204">
        <v>4270000</v>
      </c>
      <c r="F29" s="204">
        <v>5106000</v>
      </c>
      <c r="G29" s="204">
        <v>208000</v>
      </c>
      <c r="H29" s="204">
        <v>14000000</v>
      </c>
      <c r="I29" s="204">
        <v>409500</v>
      </c>
      <c r="J29" s="204">
        <v>429000</v>
      </c>
      <c r="K29" s="204">
        <v>370500</v>
      </c>
      <c r="L29" s="204">
        <v>49500</v>
      </c>
      <c r="M29" s="204">
        <v>1500000</v>
      </c>
      <c r="N29" s="204">
        <v>484250</v>
      </c>
      <c r="O29" s="204">
        <v>874478</v>
      </c>
      <c r="P29" s="204">
        <v>500370.51999999996</v>
      </c>
      <c r="Q29" s="204">
        <v>0</v>
      </c>
      <c r="R29" s="204">
        <v>0</v>
      </c>
      <c r="S29" s="204">
        <v>468000</v>
      </c>
      <c r="T29" s="204">
        <f t="shared" si="0"/>
        <v>28669598.52</v>
      </c>
    </row>
    <row r="30" spans="3:20" ht="14.1" customHeight="1" x14ac:dyDescent="0.25">
      <c r="C30" s="516">
        <v>26</v>
      </c>
      <c r="D30" s="147" t="s">
        <v>266</v>
      </c>
      <c r="E30" s="204">
        <v>0</v>
      </c>
      <c r="F30" s="204">
        <v>0</v>
      </c>
      <c r="G30" s="204">
        <v>0</v>
      </c>
      <c r="H30" s="204">
        <v>0</v>
      </c>
      <c r="I30" s="204">
        <v>0</v>
      </c>
      <c r="J30" s="204">
        <v>0</v>
      </c>
      <c r="K30" s="204">
        <v>0</v>
      </c>
      <c r="L30" s="204"/>
      <c r="M30" s="204"/>
      <c r="N30" s="204">
        <v>484250</v>
      </c>
      <c r="O30" s="204">
        <v>0</v>
      </c>
      <c r="P30" s="204">
        <v>0</v>
      </c>
      <c r="Q30" s="204">
        <v>0</v>
      </c>
      <c r="R30" s="204">
        <v>0</v>
      </c>
      <c r="S30" s="204">
        <v>0</v>
      </c>
      <c r="T30" s="204">
        <f t="shared" si="0"/>
        <v>484250</v>
      </c>
    </row>
    <row r="31" spans="3:20" ht="14.1" customHeight="1" x14ac:dyDescent="0.25">
      <c r="C31" s="516">
        <v>27</v>
      </c>
      <c r="D31" s="147" t="s">
        <v>267</v>
      </c>
      <c r="E31" s="204">
        <v>0</v>
      </c>
      <c r="F31" s="204">
        <v>0</v>
      </c>
      <c r="G31" s="204">
        <v>0</v>
      </c>
      <c r="H31" s="204">
        <v>0</v>
      </c>
      <c r="I31" s="204">
        <v>0</v>
      </c>
      <c r="J31" s="204">
        <v>0</v>
      </c>
      <c r="K31" s="204">
        <v>0</v>
      </c>
      <c r="L31" s="204"/>
      <c r="M31" s="204"/>
      <c r="N31" s="204">
        <v>484250</v>
      </c>
      <c r="O31" s="204">
        <v>0</v>
      </c>
      <c r="P31" s="204">
        <v>0</v>
      </c>
      <c r="Q31" s="204">
        <v>650000</v>
      </c>
      <c r="R31" s="204">
        <v>0</v>
      </c>
      <c r="S31" s="204">
        <v>0</v>
      </c>
      <c r="T31" s="204">
        <f t="shared" si="0"/>
        <v>1134250</v>
      </c>
    </row>
    <row r="32" spans="3:20" ht="14.1" customHeight="1" x14ac:dyDescent="0.25">
      <c r="C32" s="516">
        <v>28</v>
      </c>
      <c r="D32" s="147" t="s">
        <v>268</v>
      </c>
      <c r="E32" s="204">
        <v>0</v>
      </c>
      <c r="F32" s="204">
        <v>0</v>
      </c>
      <c r="G32" s="204">
        <v>0</v>
      </c>
      <c r="H32" s="204">
        <v>0</v>
      </c>
      <c r="I32" s="204">
        <v>0</v>
      </c>
      <c r="J32" s="204">
        <v>0</v>
      </c>
      <c r="K32" s="204">
        <v>0</v>
      </c>
      <c r="L32" s="204"/>
      <c r="M32" s="204"/>
      <c r="N32" s="204">
        <v>484250</v>
      </c>
      <c r="O32" s="204">
        <v>0</v>
      </c>
      <c r="P32" s="204">
        <v>0</v>
      </c>
      <c r="Q32" s="204">
        <v>0</v>
      </c>
      <c r="R32" s="204">
        <v>0</v>
      </c>
      <c r="S32" s="204">
        <v>0</v>
      </c>
      <c r="T32" s="204">
        <f t="shared" si="0"/>
        <v>484250</v>
      </c>
    </row>
    <row r="33" spans="3:21" ht="14.1" customHeight="1" x14ac:dyDescent="0.25">
      <c r="C33" s="516">
        <v>29</v>
      </c>
      <c r="D33" s="147" t="s">
        <v>269</v>
      </c>
      <c r="E33" s="204">
        <v>0</v>
      </c>
      <c r="F33" s="204">
        <v>0</v>
      </c>
      <c r="G33" s="204">
        <v>104000</v>
      </c>
      <c r="H33" s="204">
        <v>0</v>
      </c>
      <c r="I33" s="204">
        <v>0</v>
      </c>
      <c r="J33" s="204">
        <v>0</v>
      </c>
      <c r="K33" s="204">
        <v>0</v>
      </c>
      <c r="L33" s="204"/>
      <c r="M33" s="204"/>
      <c r="N33" s="204">
        <v>968500</v>
      </c>
      <c r="O33" s="204">
        <v>0</v>
      </c>
      <c r="P33" s="204">
        <v>0</v>
      </c>
      <c r="Q33" s="204">
        <v>650000</v>
      </c>
      <c r="R33" s="204">
        <v>0</v>
      </c>
      <c r="S33" s="204">
        <v>0</v>
      </c>
      <c r="T33" s="204">
        <f t="shared" si="0"/>
        <v>1722500</v>
      </c>
    </row>
    <row r="34" spans="3:21" ht="14.1" customHeight="1" x14ac:dyDescent="0.25">
      <c r="C34" s="516">
        <v>30</v>
      </c>
      <c r="D34" s="147" t="s">
        <v>270</v>
      </c>
      <c r="E34" s="204">
        <v>0</v>
      </c>
      <c r="F34" s="204">
        <v>0</v>
      </c>
      <c r="G34" s="204">
        <v>0</v>
      </c>
      <c r="H34" s="204">
        <v>0</v>
      </c>
      <c r="I34" s="204">
        <v>0</v>
      </c>
      <c r="J34" s="204">
        <v>0</v>
      </c>
      <c r="K34" s="204">
        <v>0</v>
      </c>
      <c r="L34" s="204"/>
      <c r="M34" s="204"/>
      <c r="N34" s="204">
        <v>484250</v>
      </c>
      <c r="O34" s="204">
        <v>0</v>
      </c>
      <c r="P34" s="204">
        <v>0</v>
      </c>
      <c r="Q34" s="204">
        <v>0</v>
      </c>
      <c r="R34" s="204">
        <v>0</v>
      </c>
      <c r="S34" s="204">
        <v>0</v>
      </c>
      <c r="T34" s="204">
        <f t="shared" si="0"/>
        <v>484250</v>
      </c>
    </row>
    <row r="35" spans="3:21" ht="14.1" customHeight="1" x14ac:dyDescent="0.25">
      <c r="C35" s="516">
        <v>31</v>
      </c>
      <c r="D35" s="147" t="s">
        <v>271</v>
      </c>
      <c r="E35" s="204">
        <v>0</v>
      </c>
      <c r="F35" s="204">
        <v>0</v>
      </c>
      <c r="G35" s="204">
        <v>0</v>
      </c>
      <c r="H35" s="204">
        <v>0</v>
      </c>
      <c r="I35" s="204">
        <v>0</v>
      </c>
      <c r="J35" s="204">
        <v>0</v>
      </c>
      <c r="K35" s="204">
        <v>0</v>
      </c>
      <c r="L35" s="204"/>
      <c r="M35" s="204"/>
      <c r="N35" s="204">
        <v>484250</v>
      </c>
      <c r="O35" s="204">
        <v>0</v>
      </c>
      <c r="P35" s="204">
        <v>0</v>
      </c>
      <c r="Q35" s="204">
        <v>0</v>
      </c>
      <c r="R35" s="204">
        <v>0</v>
      </c>
      <c r="S35" s="204">
        <v>0</v>
      </c>
      <c r="T35" s="204">
        <f t="shared" si="0"/>
        <v>484250</v>
      </c>
    </row>
    <row r="36" spans="3:21" ht="14.1" customHeight="1" x14ac:dyDescent="0.25">
      <c r="C36" s="516">
        <v>32</v>
      </c>
      <c r="D36" s="147" t="s">
        <v>272</v>
      </c>
      <c r="E36" s="204">
        <v>0</v>
      </c>
      <c r="F36" s="204">
        <v>0</v>
      </c>
      <c r="G36" s="204">
        <v>0</v>
      </c>
      <c r="H36" s="204">
        <v>0</v>
      </c>
      <c r="I36" s="204">
        <v>0</v>
      </c>
      <c r="J36" s="204">
        <v>0</v>
      </c>
      <c r="K36" s="204">
        <v>0</v>
      </c>
      <c r="L36" s="204"/>
      <c r="M36" s="204"/>
      <c r="N36" s="204">
        <v>484250</v>
      </c>
      <c r="O36" s="204">
        <v>0</v>
      </c>
      <c r="P36" s="204">
        <v>0</v>
      </c>
      <c r="Q36" s="204">
        <v>0</v>
      </c>
      <c r="R36" s="204">
        <v>0</v>
      </c>
      <c r="S36" s="204">
        <v>0</v>
      </c>
      <c r="T36" s="204">
        <f t="shared" si="0"/>
        <v>484250</v>
      </c>
    </row>
    <row r="37" spans="3:21" ht="14.1" customHeight="1" x14ac:dyDescent="0.25">
      <c r="C37" s="516">
        <v>33</v>
      </c>
      <c r="D37" s="147" t="s">
        <v>273</v>
      </c>
      <c r="E37" s="204">
        <v>0</v>
      </c>
      <c r="F37" s="204">
        <v>0</v>
      </c>
      <c r="G37" s="204">
        <v>0</v>
      </c>
      <c r="H37" s="204">
        <v>0</v>
      </c>
      <c r="I37" s="204">
        <v>0</v>
      </c>
      <c r="J37" s="204">
        <v>0</v>
      </c>
      <c r="K37" s="204">
        <v>0</v>
      </c>
      <c r="L37" s="204"/>
      <c r="M37" s="204"/>
      <c r="N37" s="204">
        <v>484250</v>
      </c>
      <c r="O37" s="204">
        <v>0</v>
      </c>
      <c r="P37" s="204">
        <v>0</v>
      </c>
      <c r="Q37" s="204">
        <v>0</v>
      </c>
      <c r="R37" s="204">
        <v>0</v>
      </c>
      <c r="S37" s="204">
        <v>0</v>
      </c>
      <c r="T37" s="204">
        <f t="shared" si="0"/>
        <v>484250</v>
      </c>
    </row>
    <row r="38" spans="3:21" ht="14.1" customHeight="1" x14ac:dyDescent="0.25">
      <c r="C38" s="516">
        <v>34</v>
      </c>
      <c r="D38" s="147" t="s">
        <v>274</v>
      </c>
      <c r="E38" s="204">
        <v>0</v>
      </c>
      <c r="F38" s="204">
        <v>0</v>
      </c>
      <c r="G38" s="204">
        <v>0</v>
      </c>
      <c r="H38" s="204">
        <v>0</v>
      </c>
      <c r="I38" s="204">
        <v>0</v>
      </c>
      <c r="J38" s="204">
        <v>0</v>
      </c>
      <c r="K38" s="204">
        <v>0</v>
      </c>
      <c r="L38" s="204"/>
      <c r="M38" s="204"/>
      <c r="N38" s="204">
        <v>484250</v>
      </c>
      <c r="O38" s="204">
        <v>0</v>
      </c>
      <c r="P38" s="204">
        <v>0</v>
      </c>
      <c r="Q38" s="204">
        <v>0</v>
      </c>
      <c r="R38" s="204">
        <v>0</v>
      </c>
      <c r="S38" s="204">
        <v>0</v>
      </c>
      <c r="T38" s="204">
        <f t="shared" si="0"/>
        <v>484250</v>
      </c>
    </row>
    <row r="39" spans="3:21" ht="14.1" customHeight="1" x14ac:dyDescent="0.25">
      <c r="C39" s="516">
        <v>35</v>
      </c>
      <c r="D39" s="147" t="s">
        <v>275</v>
      </c>
      <c r="E39" s="204">
        <v>0</v>
      </c>
      <c r="F39" s="204">
        <v>0</v>
      </c>
      <c r="G39" s="204">
        <v>0</v>
      </c>
      <c r="H39" s="204">
        <v>0</v>
      </c>
      <c r="I39" s="204">
        <v>0</v>
      </c>
      <c r="J39" s="204">
        <v>0</v>
      </c>
      <c r="K39" s="204">
        <v>0</v>
      </c>
      <c r="L39" s="204"/>
      <c r="M39" s="204"/>
      <c r="N39" s="204">
        <v>484250</v>
      </c>
      <c r="O39" s="204">
        <v>0</v>
      </c>
      <c r="P39" s="204">
        <v>0</v>
      </c>
      <c r="Q39" s="204">
        <v>0</v>
      </c>
      <c r="R39" s="204">
        <v>0</v>
      </c>
      <c r="S39" s="204">
        <v>0</v>
      </c>
      <c r="T39" s="204">
        <f t="shared" si="0"/>
        <v>484250</v>
      </c>
    </row>
    <row r="40" spans="3:21" ht="14.1" customHeight="1" x14ac:dyDescent="0.25">
      <c r="C40" s="516">
        <v>36</v>
      </c>
      <c r="D40" s="147" t="s">
        <v>276</v>
      </c>
      <c r="E40" s="204">
        <v>4270000</v>
      </c>
      <c r="F40" s="204">
        <v>5106000</v>
      </c>
      <c r="G40" s="204">
        <v>208000</v>
      </c>
      <c r="H40" s="204">
        <v>14000000</v>
      </c>
      <c r="I40" s="204">
        <v>409500</v>
      </c>
      <c r="J40" s="204">
        <v>429000</v>
      </c>
      <c r="K40" s="204">
        <v>370500</v>
      </c>
      <c r="L40" s="204">
        <v>49500</v>
      </c>
      <c r="M40" s="204">
        <v>1500000</v>
      </c>
      <c r="N40" s="204">
        <v>968500</v>
      </c>
      <c r="O40" s="204">
        <v>874478</v>
      </c>
      <c r="P40" s="204">
        <v>500370.51999999996</v>
      </c>
      <c r="Q40" s="204">
        <v>650000</v>
      </c>
      <c r="R40" s="204">
        <v>5000000</v>
      </c>
      <c r="S40" s="204">
        <v>468000</v>
      </c>
      <c r="T40" s="204">
        <f t="shared" si="0"/>
        <v>34803848.519999996</v>
      </c>
    </row>
    <row r="41" spans="3:21" ht="14.1" customHeight="1" x14ac:dyDescent="0.25">
      <c r="C41" s="516">
        <v>37</v>
      </c>
      <c r="D41" s="147" t="s">
        <v>277</v>
      </c>
      <c r="E41" s="204">
        <v>4270000</v>
      </c>
      <c r="F41" s="204">
        <v>0</v>
      </c>
      <c r="G41" s="204">
        <v>208000</v>
      </c>
      <c r="H41" s="204">
        <v>14000000</v>
      </c>
      <c r="I41" s="204">
        <v>409500</v>
      </c>
      <c r="J41" s="204">
        <v>429000</v>
      </c>
      <c r="K41" s="204">
        <v>370500</v>
      </c>
      <c r="L41" s="204">
        <v>49500</v>
      </c>
      <c r="M41" s="204">
        <v>1500000</v>
      </c>
      <c r="N41" s="204">
        <v>968500</v>
      </c>
      <c r="O41" s="204">
        <v>874478</v>
      </c>
      <c r="P41" s="204">
        <v>500370.51999999996</v>
      </c>
      <c r="Q41" s="204">
        <v>650000</v>
      </c>
      <c r="R41" s="204">
        <v>5000000</v>
      </c>
      <c r="S41" s="204">
        <v>468000</v>
      </c>
      <c r="T41" s="204">
        <f t="shared" si="0"/>
        <v>29697848.52</v>
      </c>
    </row>
    <row r="42" spans="3:21" ht="14.1" customHeight="1" x14ac:dyDescent="0.25">
      <c r="C42" s="516">
        <v>38</v>
      </c>
      <c r="D42" s="147" t="s">
        <v>278</v>
      </c>
      <c r="E42" s="204">
        <v>4270000</v>
      </c>
      <c r="F42" s="204">
        <v>5106000</v>
      </c>
      <c r="G42" s="204">
        <v>208000</v>
      </c>
      <c r="H42" s="204">
        <v>14000000</v>
      </c>
      <c r="I42" s="204">
        <v>409500</v>
      </c>
      <c r="J42" s="204">
        <v>429000</v>
      </c>
      <c r="K42" s="204">
        <v>370500</v>
      </c>
      <c r="L42" s="204">
        <v>49500</v>
      </c>
      <c r="M42" s="204">
        <v>1500000</v>
      </c>
      <c r="N42" s="204">
        <v>968500</v>
      </c>
      <c r="O42" s="204">
        <v>874478</v>
      </c>
      <c r="P42" s="204">
        <v>500370.51999999996</v>
      </c>
      <c r="Q42" s="204">
        <v>650000</v>
      </c>
      <c r="R42" s="204">
        <v>5000000</v>
      </c>
      <c r="S42" s="204">
        <v>468000</v>
      </c>
      <c r="T42" s="204">
        <f t="shared" si="0"/>
        <v>34803848.519999996</v>
      </c>
    </row>
    <row r="43" spans="3:21" ht="14.1" customHeight="1" x14ac:dyDescent="0.25">
      <c r="C43" s="516">
        <v>39</v>
      </c>
      <c r="D43" s="193" t="s">
        <v>279</v>
      </c>
      <c r="E43" s="204">
        <v>0</v>
      </c>
      <c r="F43" s="204">
        <v>0</v>
      </c>
      <c r="G43" s="204">
        <v>0</v>
      </c>
      <c r="H43" s="204">
        <v>0</v>
      </c>
      <c r="I43" s="204">
        <v>0</v>
      </c>
      <c r="J43" s="204">
        <v>0</v>
      </c>
      <c r="K43" s="204">
        <v>0</v>
      </c>
      <c r="L43" s="204"/>
      <c r="M43" s="204"/>
      <c r="N43" s="204">
        <v>0</v>
      </c>
      <c r="O43" s="204">
        <v>0</v>
      </c>
      <c r="P43" s="204"/>
      <c r="Q43" s="204">
        <v>0</v>
      </c>
      <c r="R43" s="204">
        <v>0</v>
      </c>
      <c r="S43" s="204">
        <v>0</v>
      </c>
      <c r="T43" s="204">
        <f t="shared" si="0"/>
        <v>0</v>
      </c>
    </row>
    <row r="44" spans="3:21" ht="14.1" customHeight="1" x14ac:dyDescent="0.25">
      <c r="C44" s="516">
        <v>40</v>
      </c>
      <c r="D44" s="193" t="s">
        <v>280</v>
      </c>
      <c r="E44" s="204">
        <v>0</v>
      </c>
      <c r="F44" s="204">
        <v>0</v>
      </c>
      <c r="G44" s="204">
        <v>0</v>
      </c>
      <c r="H44" s="204">
        <v>0</v>
      </c>
      <c r="I44" s="204">
        <v>0</v>
      </c>
      <c r="J44" s="204">
        <v>0</v>
      </c>
      <c r="K44" s="204">
        <v>0</v>
      </c>
      <c r="L44" s="204"/>
      <c r="M44" s="204"/>
      <c r="N44" s="204">
        <v>0</v>
      </c>
      <c r="O44" s="204">
        <v>0</v>
      </c>
      <c r="P44" s="204">
        <v>0</v>
      </c>
      <c r="Q44" s="204">
        <v>0</v>
      </c>
      <c r="R44" s="204">
        <v>0</v>
      </c>
      <c r="S44" s="204">
        <v>0</v>
      </c>
      <c r="T44" s="204">
        <f t="shared" si="0"/>
        <v>0</v>
      </c>
    </row>
    <row r="45" spans="3:21" ht="14.1" customHeight="1" x14ac:dyDescent="0.25">
      <c r="C45" s="872" t="s">
        <v>297</v>
      </c>
      <c r="D45" s="872"/>
      <c r="E45" s="196">
        <f>SUM(E5:E44)</f>
        <v>25620000</v>
      </c>
      <c r="F45" s="196">
        <f t="shared" ref="F45" si="1">SUM(F5:F44)</f>
        <v>20424000</v>
      </c>
      <c r="G45" s="196">
        <f t="shared" ref="G45:S45" si="2">SUM(G5:G44)</f>
        <v>2392000</v>
      </c>
      <c r="H45" s="196">
        <f t="shared" si="2"/>
        <v>84000000</v>
      </c>
      <c r="I45" s="196">
        <f t="shared" si="2"/>
        <v>2457000</v>
      </c>
      <c r="J45" s="196">
        <f t="shared" si="2"/>
        <v>2574000</v>
      </c>
      <c r="K45" s="196">
        <f t="shared" si="2"/>
        <v>2223000</v>
      </c>
      <c r="L45" s="196">
        <f t="shared" ref="L45:N45" si="3">SUM(L5:L44)</f>
        <v>297000</v>
      </c>
      <c r="M45" s="196">
        <f t="shared" si="3"/>
        <v>9000000</v>
      </c>
      <c r="N45" s="196">
        <f t="shared" si="3"/>
        <v>25665250</v>
      </c>
      <c r="O45" s="196">
        <f t="shared" ref="O45:R45" si="4">SUM(O5:O44)</f>
        <v>5246868</v>
      </c>
      <c r="P45" s="196">
        <f t="shared" si="4"/>
        <v>3002223.1199999996</v>
      </c>
      <c r="Q45" s="196">
        <f t="shared" si="4"/>
        <v>9750000</v>
      </c>
      <c r="R45" s="196">
        <f t="shared" si="4"/>
        <v>45000000</v>
      </c>
      <c r="S45" s="196">
        <f t="shared" si="2"/>
        <v>2808000</v>
      </c>
      <c r="T45" s="196">
        <f t="shared" si="0"/>
        <v>240459341.12</v>
      </c>
      <c r="U45" s="79"/>
    </row>
    <row r="46" spans="3:21" ht="14.1" customHeight="1" x14ac:dyDescent="0.25">
      <c r="C46" s="867" t="s">
        <v>282</v>
      </c>
      <c r="D46" s="867"/>
      <c r="E46" s="196">
        <f>E45*0.16</f>
        <v>4099200</v>
      </c>
      <c r="F46" s="196">
        <f t="shared" ref="F46" si="5">F45*0.16</f>
        <v>3267840</v>
      </c>
      <c r="G46" s="196">
        <f t="shared" ref="G46:S46" si="6">G45*0.16</f>
        <v>382720</v>
      </c>
      <c r="H46" s="196">
        <f t="shared" si="6"/>
        <v>13440000</v>
      </c>
      <c r="I46" s="196">
        <f t="shared" si="6"/>
        <v>393120</v>
      </c>
      <c r="J46" s="196">
        <f t="shared" si="6"/>
        <v>411840</v>
      </c>
      <c r="K46" s="196">
        <f t="shared" si="6"/>
        <v>355680</v>
      </c>
      <c r="L46" s="196">
        <f t="shared" ref="L46:N46" si="7">L45*0.16</f>
        <v>47520</v>
      </c>
      <c r="M46" s="196">
        <f t="shared" si="7"/>
        <v>1440000</v>
      </c>
      <c r="N46" s="196">
        <f t="shared" si="7"/>
        <v>4106440</v>
      </c>
      <c r="O46" s="196">
        <f t="shared" ref="O46:R46" si="8">O45*0.16</f>
        <v>839498.88</v>
      </c>
      <c r="P46" s="196">
        <f t="shared" si="8"/>
        <v>480355.69919999997</v>
      </c>
      <c r="Q46" s="196">
        <f t="shared" si="8"/>
        <v>1560000</v>
      </c>
      <c r="R46" s="196">
        <f t="shared" si="8"/>
        <v>7200000</v>
      </c>
      <c r="S46" s="196">
        <f t="shared" si="6"/>
        <v>449280</v>
      </c>
      <c r="T46" s="196">
        <f>SUM(E46:S46)</f>
        <v>38473494.5792</v>
      </c>
    </row>
    <row r="47" spans="3:21" ht="14.1" customHeight="1" x14ac:dyDescent="0.25">
      <c r="C47" s="867" t="s">
        <v>298</v>
      </c>
      <c r="D47" s="867"/>
      <c r="E47" s="196">
        <f>SUM(E45:E46)</f>
        <v>29719200</v>
      </c>
      <c r="F47" s="196">
        <f t="shared" ref="F47" si="9">SUM(F45:F46)</f>
        <v>23691840</v>
      </c>
      <c r="G47" s="196">
        <f t="shared" ref="G47:S47" si="10">SUM(G45:G46)</f>
        <v>2774720</v>
      </c>
      <c r="H47" s="196">
        <f t="shared" si="10"/>
        <v>97440000</v>
      </c>
      <c r="I47" s="196">
        <f t="shared" si="10"/>
        <v>2850120</v>
      </c>
      <c r="J47" s="196">
        <f t="shared" si="10"/>
        <v>2985840</v>
      </c>
      <c r="K47" s="196">
        <f t="shared" si="10"/>
        <v>2578680</v>
      </c>
      <c r="L47" s="196">
        <f t="shared" ref="L47:N47" si="11">SUM(L45:L46)</f>
        <v>344520</v>
      </c>
      <c r="M47" s="196">
        <f t="shared" si="11"/>
        <v>10440000</v>
      </c>
      <c r="N47" s="196">
        <f t="shared" si="11"/>
        <v>29771690</v>
      </c>
      <c r="O47" s="196">
        <f t="shared" ref="O47:R47" si="12">SUM(O45:O46)</f>
        <v>6086366.8799999999</v>
      </c>
      <c r="P47" s="196">
        <f t="shared" si="12"/>
        <v>3482578.8191999998</v>
      </c>
      <c r="Q47" s="196">
        <f t="shared" si="12"/>
        <v>11310000</v>
      </c>
      <c r="R47" s="196">
        <f t="shared" si="12"/>
        <v>52200000</v>
      </c>
      <c r="S47" s="196">
        <f t="shared" si="10"/>
        <v>3257280</v>
      </c>
      <c r="T47" s="196">
        <f>SUM(E47:S47)</f>
        <v>278932835.69920003</v>
      </c>
    </row>
    <row r="48" spans="3:21" x14ac:dyDescent="0.25">
      <c r="K48" s="10"/>
      <c r="L48" s="10"/>
      <c r="M48" s="10"/>
      <c r="N48" s="10"/>
      <c r="O48" s="10"/>
      <c r="P48" s="893" t="s">
        <v>161</v>
      </c>
      <c r="Q48" s="893"/>
      <c r="R48" s="893"/>
      <c r="S48" s="893"/>
      <c r="T48" s="602">
        <f>+T47+'40.41 EQUIPOS MEDICOS IV'!U47+'40.41 EQUIPOS MEDICOS III'!U47+'38.39 EQUIPOS MEDICOS II'!U48+'36.37 EQUIPOS MEDICOS'!U50</f>
        <v>3600023670.0644002</v>
      </c>
    </row>
  </sheetData>
  <mergeCells count="23">
    <mergeCell ref="C46:D46"/>
    <mergeCell ref="C47:D47"/>
    <mergeCell ref="K3:K4"/>
    <mergeCell ref="S3:S4"/>
    <mergeCell ref="P3:P4"/>
    <mergeCell ref="Q3:Q4"/>
    <mergeCell ref="R3:R4"/>
    <mergeCell ref="P48:S48"/>
    <mergeCell ref="C2:T2"/>
    <mergeCell ref="C3:C4"/>
    <mergeCell ref="D3:D4"/>
    <mergeCell ref="E3:E4"/>
    <mergeCell ref="F3:F4"/>
    <mergeCell ref="G3:G4"/>
    <mergeCell ref="H3:H4"/>
    <mergeCell ref="T3:T4"/>
    <mergeCell ref="I3:I4"/>
    <mergeCell ref="J3:J4"/>
    <mergeCell ref="L3:L4"/>
    <mergeCell ref="M3:M4"/>
    <mergeCell ref="N3:N4"/>
    <mergeCell ref="O3:O4"/>
    <mergeCell ref="C45:D45"/>
  </mergeCells>
  <pageMargins left="0.7" right="0.7" top="0.75" bottom="0.75" header="0.3" footer="0.3"/>
  <pageSetup paperSize="5" scale="7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00B0F0"/>
  </sheetPr>
  <dimension ref="E3:Q54"/>
  <sheetViews>
    <sheetView view="pageLayout" topLeftCell="C22" zoomScaleNormal="90" workbookViewId="0">
      <selection activeCell="B1" sqref="B1:B1048576"/>
    </sheetView>
  </sheetViews>
  <sheetFormatPr baseColWidth="10" defaultRowHeight="12" x14ac:dyDescent="0.25"/>
  <cols>
    <col min="1" max="4" width="11.42578125" style="226"/>
    <col min="5" max="5" width="24.140625" style="226" customWidth="1"/>
    <col min="6" max="6" width="5.7109375" style="562" customWidth="1"/>
    <col min="7" max="7" width="13.140625" style="226" customWidth="1"/>
    <col min="8" max="8" width="11.42578125" style="226"/>
    <col min="9" max="9" width="5.7109375" style="562" customWidth="1"/>
    <col min="10" max="11" width="11.42578125" style="226"/>
    <col min="12" max="12" width="5.7109375" style="562" customWidth="1"/>
    <col min="13" max="14" width="11.42578125" style="226"/>
    <col min="15" max="15" width="5.7109375" style="562" customWidth="1"/>
    <col min="16" max="16384" width="11.42578125" style="226"/>
  </cols>
  <sheetData>
    <row r="3" spans="5:17" x14ac:dyDescent="0.25">
      <c r="E3" s="907" t="s">
        <v>1404</v>
      </c>
      <c r="F3" s="907"/>
      <c r="G3" s="907"/>
      <c r="H3" s="907"/>
      <c r="I3" s="907"/>
      <c r="J3" s="907"/>
      <c r="K3" s="907"/>
      <c r="L3" s="907"/>
      <c r="M3" s="907"/>
      <c r="N3" s="907"/>
      <c r="O3" s="907"/>
      <c r="P3" s="907"/>
      <c r="Q3" s="907"/>
    </row>
    <row r="4" spans="5:17" s="606" customFormat="1" ht="29.25" customHeight="1" x14ac:dyDescent="0.25">
      <c r="E4" s="871" t="s">
        <v>287</v>
      </c>
      <c r="F4" s="907" t="s">
        <v>1840</v>
      </c>
      <c r="G4" s="907"/>
      <c r="H4" s="907"/>
      <c r="I4" s="907" t="s">
        <v>1841</v>
      </c>
      <c r="J4" s="907"/>
      <c r="K4" s="907"/>
      <c r="L4" s="907" t="s">
        <v>1842</v>
      </c>
      <c r="M4" s="907"/>
      <c r="N4" s="907"/>
      <c r="O4" s="907" t="s">
        <v>1843</v>
      </c>
      <c r="P4" s="907"/>
      <c r="Q4" s="907"/>
    </row>
    <row r="5" spans="5:17" s="606" customFormat="1" ht="23.25" customHeight="1" x14ac:dyDescent="0.25">
      <c r="E5" s="871"/>
      <c r="F5" s="512" t="s">
        <v>366</v>
      </c>
      <c r="G5" s="512" t="s">
        <v>1838</v>
      </c>
      <c r="H5" s="512" t="s">
        <v>1839</v>
      </c>
      <c r="I5" s="512" t="s">
        <v>366</v>
      </c>
      <c r="J5" s="512" t="s">
        <v>1838</v>
      </c>
      <c r="K5" s="512" t="s">
        <v>1839</v>
      </c>
      <c r="L5" s="512" t="s">
        <v>366</v>
      </c>
      <c r="M5" s="512" t="s">
        <v>1838</v>
      </c>
      <c r="N5" s="512" t="s">
        <v>1839</v>
      </c>
      <c r="O5" s="512" t="s">
        <v>366</v>
      </c>
      <c r="P5" s="512" t="s">
        <v>1838</v>
      </c>
      <c r="Q5" s="512" t="s">
        <v>1839</v>
      </c>
    </row>
    <row r="6" spans="5:17" ht="18" customHeight="1" x14ac:dyDescent="0.25">
      <c r="E6" s="373" t="s">
        <v>242</v>
      </c>
      <c r="F6" s="345">
        <v>1</v>
      </c>
      <c r="G6" s="373">
        <v>215592</v>
      </c>
      <c r="H6" s="373">
        <f>F6*G6</f>
        <v>215592</v>
      </c>
      <c r="I6" s="345">
        <v>1</v>
      </c>
      <c r="J6" s="373">
        <v>215592</v>
      </c>
      <c r="K6" s="373">
        <f>I6*J6</f>
        <v>215592</v>
      </c>
      <c r="L6" s="345">
        <v>1</v>
      </c>
      <c r="M6" s="373">
        <v>215592</v>
      </c>
      <c r="N6" s="373">
        <f>L6*M6</f>
        <v>215592</v>
      </c>
      <c r="O6" s="345">
        <v>0</v>
      </c>
      <c r="P6" s="373">
        <v>2860000</v>
      </c>
      <c r="Q6" s="373">
        <f>O6*P6</f>
        <v>0</v>
      </c>
    </row>
    <row r="7" spans="5:17" ht="18" customHeight="1" x14ac:dyDescent="0.25">
      <c r="E7" s="387" t="s">
        <v>511</v>
      </c>
      <c r="F7" s="345">
        <v>1</v>
      </c>
      <c r="G7" s="373">
        <v>215592</v>
      </c>
      <c r="H7" s="373">
        <f t="shared" ref="H7:H15" si="0">F7*G7</f>
        <v>215592</v>
      </c>
      <c r="I7" s="345">
        <v>1</v>
      </c>
      <c r="J7" s="373">
        <v>215592</v>
      </c>
      <c r="K7" s="373">
        <f t="shared" ref="K7:K15" si="1">I7*J7</f>
        <v>215592</v>
      </c>
      <c r="L7" s="345">
        <v>1</v>
      </c>
      <c r="M7" s="373">
        <v>215592</v>
      </c>
      <c r="N7" s="373">
        <f t="shared" ref="N7:N15" si="2">L7*M7</f>
        <v>215592</v>
      </c>
      <c r="O7" s="345">
        <v>0</v>
      </c>
      <c r="P7" s="373">
        <v>2860000</v>
      </c>
      <c r="Q7" s="373">
        <f t="shared" ref="Q7:Q15" si="3">O7*P7</f>
        <v>0</v>
      </c>
    </row>
    <row r="8" spans="5:17" ht="18" customHeight="1" x14ac:dyDescent="0.25">
      <c r="E8" s="373" t="s">
        <v>261</v>
      </c>
      <c r="F8" s="345">
        <v>1</v>
      </c>
      <c r="G8" s="373">
        <v>215592</v>
      </c>
      <c r="H8" s="373">
        <f t="shared" si="0"/>
        <v>215592</v>
      </c>
      <c r="I8" s="345">
        <v>1</v>
      </c>
      <c r="J8" s="373">
        <v>215592</v>
      </c>
      <c r="K8" s="373">
        <f t="shared" si="1"/>
        <v>215592</v>
      </c>
      <c r="L8" s="345">
        <v>1</v>
      </c>
      <c r="M8" s="373">
        <v>215592</v>
      </c>
      <c r="N8" s="373">
        <f t="shared" si="2"/>
        <v>215592</v>
      </c>
      <c r="O8" s="345">
        <v>0</v>
      </c>
      <c r="P8" s="373">
        <v>2860000</v>
      </c>
      <c r="Q8" s="373">
        <f t="shared" si="3"/>
        <v>0</v>
      </c>
    </row>
    <row r="9" spans="5:17" ht="18" customHeight="1" x14ac:dyDescent="0.25">
      <c r="E9" s="373" t="s">
        <v>265</v>
      </c>
      <c r="F9" s="345">
        <v>1</v>
      </c>
      <c r="G9" s="373">
        <v>215592</v>
      </c>
      <c r="H9" s="373">
        <f t="shared" si="0"/>
        <v>215592</v>
      </c>
      <c r="I9" s="345">
        <v>1</v>
      </c>
      <c r="J9" s="373">
        <v>215592</v>
      </c>
      <c r="K9" s="373">
        <f t="shared" si="1"/>
        <v>215592</v>
      </c>
      <c r="L9" s="345">
        <v>1</v>
      </c>
      <c r="M9" s="373">
        <v>215592</v>
      </c>
      <c r="N9" s="373">
        <f t="shared" si="2"/>
        <v>215592</v>
      </c>
      <c r="O9" s="345">
        <v>1</v>
      </c>
      <c r="P9" s="373">
        <v>2860000</v>
      </c>
      <c r="Q9" s="373">
        <f t="shared" si="3"/>
        <v>2860000</v>
      </c>
    </row>
    <row r="10" spans="5:17" ht="18" customHeight="1" x14ac:dyDescent="0.25">
      <c r="E10" s="373" t="s">
        <v>271</v>
      </c>
      <c r="F10" s="345">
        <v>0</v>
      </c>
      <c r="G10" s="373">
        <v>215592</v>
      </c>
      <c r="H10" s="373">
        <f t="shared" si="0"/>
        <v>0</v>
      </c>
      <c r="I10" s="345">
        <v>0</v>
      </c>
      <c r="J10" s="373">
        <v>215592</v>
      </c>
      <c r="K10" s="373">
        <f t="shared" si="1"/>
        <v>0</v>
      </c>
      <c r="L10" s="345">
        <v>0</v>
      </c>
      <c r="M10" s="373">
        <v>215592</v>
      </c>
      <c r="N10" s="373">
        <f t="shared" si="2"/>
        <v>0</v>
      </c>
      <c r="O10" s="345">
        <v>0</v>
      </c>
      <c r="P10" s="373">
        <v>2860000</v>
      </c>
      <c r="Q10" s="373">
        <f t="shared" si="3"/>
        <v>0</v>
      </c>
    </row>
    <row r="11" spans="5:17" ht="18" customHeight="1" x14ac:dyDescent="0.25">
      <c r="E11" s="373" t="s">
        <v>512</v>
      </c>
      <c r="F11" s="345">
        <v>0</v>
      </c>
      <c r="G11" s="373">
        <v>215592</v>
      </c>
      <c r="H11" s="373">
        <f t="shared" si="0"/>
        <v>0</v>
      </c>
      <c r="I11" s="345">
        <v>0</v>
      </c>
      <c r="J11" s="373">
        <v>215592</v>
      </c>
      <c r="K11" s="373">
        <f t="shared" si="1"/>
        <v>0</v>
      </c>
      <c r="L11" s="345">
        <v>0</v>
      </c>
      <c r="M11" s="373">
        <v>215592</v>
      </c>
      <c r="N11" s="373">
        <f t="shared" si="2"/>
        <v>0</v>
      </c>
      <c r="O11" s="345">
        <v>0</v>
      </c>
      <c r="P11" s="373">
        <v>2860000</v>
      </c>
      <c r="Q11" s="373">
        <f t="shared" si="3"/>
        <v>0</v>
      </c>
    </row>
    <row r="12" spans="5:17" ht="18" customHeight="1" x14ac:dyDescent="0.25">
      <c r="E12" s="373" t="s">
        <v>513</v>
      </c>
      <c r="F12" s="345">
        <v>0</v>
      </c>
      <c r="G12" s="373">
        <v>215592</v>
      </c>
      <c r="H12" s="373">
        <f t="shared" si="0"/>
        <v>0</v>
      </c>
      <c r="I12" s="345">
        <v>0</v>
      </c>
      <c r="J12" s="373">
        <v>215592</v>
      </c>
      <c r="K12" s="373">
        <f t="shared" si="1"/>
        <v>0</v>
      </c>
      <c r="L12" s="345">
        <v>0</v>
      </c>
      <c r="M12" s="373">
        <v>215592</v>
      </c>
      <c r="N12" s="373">
        <f t="shared" si="2"/>
        <v>0</v>
      </c>
      <c r="O12" s="345">
        <v>0</v>
      </c>
      <c r="P12" s="373">
        <v>2860000</v>
      </c>
      <c r="Q12" s="373">
        <f t="shared" si="3"/>
        <v>0</v>
      </c>
    </row>
    <row r="13" spans="5:17" ht="18" customHeight="1" x14ac:dyDescent="0.25">
      <c r="E13" s="373" t="s">
        <v>296</v>
      </c>
      <c r="F13" s="345">
        <v>1</v>
      </c>
      <c r="G13" s="373">
        <v>215592</v>
      </c>
      <c r="H13" s="373">
        <f t="shared" si="0"/>
        <v>215592</v>
      </c>
      <c r="I13" s="345">
        <v>1</v>
      </c>
      <c r="J13" s="373">
        <v>215592</v>
      </c>
      <c r="K13" s="373">
        <f t="shared" si="1"/>
        <v>215592</v>
      </c>
      <c r="L13" s="345">
        <v>1</v>
      </c>
      <c r="M13" s="373">
        <v>215592</v>
      </c>
      <c r="N13" s="373">
        <f t="shared" si="2"/>
        <v>215592</v>
      </c>
      <c r="O13" s="345">
        <v>0</v>
      </c>
      <c r="P13" s="373">
        <v>2860000</v>
      </c>
      <c r="Q13" s="373">
        <f t="shared" si="3"/>
        <v>0</v>
      </c>
    </row>
    <row r="14" spans="5:17" ht="18" customHeight="1" x14ac:dyDescent="0.25">
      <c r="E14" s="373" t="s">
        <v>277</v>
      </c>
      <c r="F14" s="345">
        <v>1</v>
      </c>
      <c r="G14" s="373">
        <v>215592</v>
      </c>
      <c r="H14" s="373">
        <f t="shared" si="0"/>
        <v>215592</v>
      </c>
      <c r="I14" s="345">
        <v>1</v>
      </c>
      <c r="J14" s="373">
        <v>215592</v>
      </c>
      <c r="K14" s="373">
        <f t="shared" si="1"/>
        <v>215592</v>
      </c>
      <c r="L14" s="345">
        <v>1</v>
      </c>
      <c r="M14" s="373">
        <v>215592</v>
      </c>
      <c r="N14" s="373">
        <f t="shared" si="2"/>
        <v>215592</v>
      </c>
      <c r="O14" s="345">
        <v>0</v>
      </c>
      <c r="P14" s="373">
        <v>2860000</v>
      </c>
      <c r="Q14" s="373">
        <f t="shared" si="3"/>
        <v>0</v>
      </c>
    </row>
    <row r="15" spans="5:17" ht="18" customHeight="1" x14ac:dyDescent="0.25">
      <c r="E15" s="373" t="s">
        <v>278</v>
      </c>
      <c r="F15" s="345">
        <v>1</v>
      </c>
      <c r="G15" s="373">
        <v>215592</v>
      </c>
      <c r="H15" s="373">
        <f t="shared" si="0"/>
        <v>215592</v>
      </c>
      <c r="I15" s="345">
        <v>1</v>
      </c>
      <c r="J15" s="373">
        <v>215592</v>
      </c>
      <c r="K15" s="373">
        <f t="shared" si="1"/>
        <v>215592</v>
      </c>
      <c r="L15" s="345">
        <v>1</v>
      </c>
      <c r="M15" s="373">
        <v>215592</v>
      </c>
      <c r="N15" s="373">
        <f t="shared" si="2"/>
        <v>215592</v>
      </c>
      <c r="O15" s="345">
        <v>1</v>
      </c>
      <c r="P15" s="373">
        <v>2860000</v>
      </c>
      <c r="Q15" s="373">
        <f t="shared" si="3"/>
        <v>2860000</v>
      </c>
    </row>
    <row r="16" spans="5:17" s="606" customFormat="1" ht="18" customHeight="1" x14ac:dyDescent="0.25">
      <c r="E16" s="518" t="s">
        <v>284</v>
      </c>
      <c r="F16" s="518">
        <f>SUM(F6:F15)</f>
        <v>7</v>
      </c>
      <c r="G16" s="960">
        <f>SUM(H6:H15)</f>
        <v>1509144</v>
      </c>
      <c r="H16" s="961"/>
      <c r="I16" s="518">
        <f>SUM(I6:I15)</f>
        <v>7</v>
      </c>
      <c r="J16" s="960">
        <f>SUM(K6:K15)</f>
        <v>1509144</v>
      </c>
      <c r="K16" s="961"/>
      <c r="L16" s="518">
        <f>SUM(L6:L15)</f>
        <v>7</v>
      </c>
      <c r="M16" s="960">
        <f>SUM(N6:N15)</f>
        <v>1509144</v>
      </c>
      <c r="N16" s="961"/>
      <c r="O16" s="518">
        <f>SUM(O6:O15)</f>
        <v>2</v>
      </c>
      <c r="P16" s="960">
        <f>SUM(Q6:Q15)</f>
        <v>5720000</v>
      </c>
      <c r="Q16" s="961"/>
    </row>
    <row r="17" spans="5:17" s="606" customFormat="1" ht="18" customHeight="1" x14ac:dyDescent="0.25">
      <c r="E17" s="518" t="s">
        <v>159</v>
      </c>
      <c r="F17" s="518"/>
      <c r="G17" s="960">
        <f>G16*0.16</f>
        <v>241463.04000000001</v>
      </c>
      <c r="H17" s="961"/>
      <c r="I17" s="518"/>
      <c r="J17" s="960">
        <f>J16*0.16</f>
        <v>241463.04000000001</v>
      </c>
      <c r="K17" s="961"/>
      <c r="L17" s="518"/>
      <c r="M17" s="960">
        <f>M16*0.16</f>
        <v>241463.04000000001</v>
      </c>
      <c r="N17" s="961"/>
      <c r="O17" s="518"/>
      <c r="P17" s="960">
        <f>P16*0.16</f>
        <v>915200</v>
      </c>
      <c r="Q17" s="961"/>
    </row>
    <row r="18" spans="5:17" s="606" customFormat="1" ht="18" customHeight="1" x14ac:dyDescent="0.25">
      <c r="E18" s="518" t="s">
        <v>298</v>
      </c>
      <c r="F18" s="518"/>
      <c r="G18" s="960">
        <f>SUM(G16:H17)</f>
        <v>1750607.04</v>
      </c>
      <c r="H18" s="961"/>
      <c r="I18" s="518"/>
      <c r="J18" s="960">
        <f>SUM(J16:K17)</f>
        <v>1750607.04</v>
      </c>
      <c r="K18" s="961"/>
      <c r="L18" s="518"/>
      <c r="M18" s="960">
        <f>SUM(M16:N17)</f>
        <v>1750607.04</v>
      </c>
      <c r="N18" s="961"/>
      <c r="O18" s="518"/>
      <c r="P18" s="960">
        <f>SUM(P16:Q17)</f>
        <v>6635200</v>
      </c>
      <c r="Q18" s="961"/>
    </row>
    <row r="19" spans="5:17" x14ac:dyDescent="0.25">
      <c r="E19" s="388"/>
      <c r="F19" s="391"/>
      <c r="G19" s="388"/>
      <c r="H19" s="388"/>
      <c r="I19" s="391"/>
      <c r="J19" s="388"/>
      <c r="K19" s="388"/>
      <c r="L19" s="391"/>
      <c r="M19" s="388"/>
      <c r="N19" s="388"/>
      <c r="O19" s="391"/>
      <c r="P19" s="388"/>
      <c r="Q19" s="388"/>
    </row>
    <row r="20" spans="5:17" x14ac:dyDescent="0.25">
      <c r="E20" s="595"/>
    </row>
    <row r="21" spans="5:17" x14ac:dyDescent="0.25">
      <c r="E21" s="960" t="s">
        <v>1404</v>
      </c>
      <c r="F21" s="976"/>
      <c r="G21" s="976"/>
      <c r="H21" s="976"/>
      <c r="I21" s="976"/>
      <c r="J21" s="976"/>
      <c r="K21" s="976"/>
      <c r="L21" s="976"/>
      <c r="M21" s="976"/>
      <c r="N21" s="961"/>
      <c r="O21" s="604"/>
      <c r="P21" s="604"/>
      <c r="Q21" s="604"/>
    </row>
    <row r="22" spans="5:17" s="607" customFormat="1" ht="29.25" customHeight="1" x14ac:dyDescent="0.25">
      <c r="E22" s="871" t="s">
        <v>287</v>
      </c>
      <c r="F22" s="977" t="s">
        <v>1848</v>
      </c>
      <c r="G22" s="978"/>
      <c r="H22" s="979"/>
      <c r="I22" s="871" t="s">
        <v>1844</v>
      </c>
      <c r="J22" s="871"/>
      <c r="K22" s="871"/>
      <c r="L22" s="871" t="s">
        <v>1847</v>
      </c>
      <c r="M22" s="871"/>
      <c r="N22" s="871"/>
      <c r="O22" s="975"/>
      <c r="P22" s="975"/>
      <c r="Q22" s="975"/>
    </row>
    <row r="23" spans="5:17" ht="23.25" customHeight="1" x14ac:dyDescent="0.25">
      <c r="E23" s="871"/>
      <c r="F23" s="512" t="s">
        <v>366</v>
      </c>
      <c r="G23" s="512" t="s">
        <v>1838</v>
      </c>
      <c r="H23" s="512" t="s">
        <v>1839</v>
      </c>
      <c r="I23" s="512" t="s">
        <v>366</v>
      </c>
      <c r="J23" s="512" t="s">
        <v>1838</v>
      </c>
      <c r="K23" s="512" t="s">
        <v>1839</v>
      </c>
      <c r="L23" s="512" t="s">
        <v>366</v>
      </c>
      <c r="M23" s="512" t="s">
        <v>1838</v>
      </c>
      <c r="N23" s="512" t="s">
        <v>1839</v>
      </c>
      <c r="O23" s="603"/>
      <c r="P23" s="603"/>
      <c r="Q23" s="603"/>
    </row>
    <row r="24" spans="5:17" ht="18" customHeight="1" x14ac:dyDescent="0.25">
      <c r="E24" s="373" t="s">
        <v>242</v>
      </c>
      <c r="F24" s="345">
        <v>1</v>
      </c>
      <c r="G24" s="373">
        <v>3276000</v>
      </c>
      <c r="H24" s="373">
        <v>3276000</v>
      </c>
      <c r="I24" s="345">
        <v>1</v>
      </c>
      <c r="J24" s="373">
        <v>5000000</v>
      </c>
      <c r="K24" s="373">
        <v>5000000</v>
      </c>
      <c r="L24" s="345">
        <v>3</v>
      </c>
      <c r="M24" s="373">
        <v>50000</v>
      </c>
      <c r="N24" s="373">
        <v>150000</v>
      </c>
      <c r="O24" s="457"/>
      <c r="P24" s="456"/>
      <c r="Q24" s="456"/>
    </row>
    <row r="25" spans="5:17" ht="18" customHeight="1" x14ac:dyDescent="0.25">
      <c r="E25" s="373" t="s">
        <v>511</v>
      </c>
      <c r="F25" s="345">
        <v>1</v>
      </c>
      <c r="G25" s="373">
        <v>3276000</v>
      </c>
      <c r="H25" s="373">
        <v>3276000</v>
      </c>
      <c r="I25" s="345">
        <v>1</v>
      </c>
      <c r="J25" s="373">
        <v>5000000</v>
      </c>
      <c r="K25" s="373">
        <v>5000000</v>
      </c>
      <c r="L25" s="345">
        <v>3</v>
      </c>
      <c r="M25" s="373">
        <v>50000</v>
      </c>
      <c r="N25" s="373">
        <v>150000</v>
      </c>
      <c r="O25" s="457"/>
      <c r="P25" s="456"/>
      <c r="Q25" s="456"/>
    </row>
    <row r="26" spans="5:17" ht="18" customHeight="1" x14ac:dyDescent="0.25">
      <c r="E26" s="373" t="s">
        <v>261</v>
      </c>
      <c r="F26" s="345">
        <v>1</v>
      </c>
      <c r="G26" s="373">
        <v>3276000</v>
      </c>
      <c r="H26" s="373">
        <v>3276000</v>
      </c>
      <c r="I26" s="345">
        <v>1</v>
      </c>
      <c r="J26" s="373">
        <v>5000000</v>
      </c>
      <c r="K26" s="373">
        <v>5000000</v>
      </c>
      <c r="L26" s="345">
        <v>3</v>
      </c>
      <c r="M26" s="373">
        <v>50000</v>
      </c>
      <c r="N26" s="373">
        <v>150000</v>
      </c>
      <c r="O26" s="457"/>
      <c r="P26" s="456"/>
      <c r="Q26" s="456"/>
    </row>
    <row r="27" spans="5:17" ht="18" customHeight="1" x14ac:dyDescent="0.25">
      <c r="E27" s="373" t="s">
        <v>265</v>
      </c>
      <c r="F27" s="345">
        <v>1</v>
      </c>
      <c r="G27" s="373">
        <v>3276000</v>
      </c>
      <c r="H27" s="373">
        <v>3276000</v>
      </c>
      <c r="I27" s="345">
        <v>1</v>
      </c>
      <c r="J27" s="373">
        <v>5000000</v>
      </c>
      <c r="K27" s="373">
        <v>5000000</v>
      </c>
      <c r="L27" s="345">
        <v>3</v>
      </c>
      <c r="M27" s="373">
        <v>50000</v>
      </c>
      <c r="N27" s="373">
        <v>150000</v>
      </c>
      <c r="O27" s="457"/>
      <c r="P27" s="456"/>
      <c r="Q27" s="456"/>
    </row>
    <row r="28" spans="5:17" ht="18" customHeight="1" x14ac:dyDescent="0.25">
      <c r="E28" s="373" t="s">
        <v>271</v>
      </c>
      <c r="F28" s="345">
        <v>0</v>
      </c>
      <c r="G28" s="373">
        <v>3276000</v>
      </c>
      <c r="H28" s="373">
        <v>0</v>
      </c>
      <c r="I28" s="345">
        <v>0</v>
      </c>
      <c r="J28" s="373">
        <v>5000000</v>
      </c>
      <c r="K28" s="373">
        <v>0</v>
      </c>
      <c r="L28" s="345">
        <v>0</v>
      </c>
      <c r="M28" s="373">
        <v>50000</v>
      </c>
      <c r="N28" s="373">
        <v>0</v>
      </c>
      <c r="O28" s="457"/>
      <c r="P28" s="456"/>
      <c r="Q28" s="456"/>
    </row>
    <row r="29" spans="5:17" ht="18" customHeight="1" x14ac:dyDescent="0.25">
      <c r="E29" s="373" t="s">
        <v>512</v>
      </c>
      <c r="F29" s="345">
        <v>0</v>
      </c>
      <c r="G29" s="373">
        <v>3276000</v>
      </c>
      <c r="H29" s="373">
        <v>0</v>
      </c>
      <c r="I29" s="345">
        <v>0</v>
      </c>
      <c r="J29" s="373">
        <v>5000000</v>
      </c>
      <c r="K29" s="373">
        <v>0</v>
      </c>
      <c r="L29" s="345">
        <v>0</v>
      </c>
      <c r="M29" s="373">
        <v>50000</v>
      </c>
      <c r="N29" s="373">
        <v>0</v>
      </c>
      <c r="O29" s="457"/>
      <c r="P29" s="456"/>
      <c r="Q29" s="456"/>
    </row>
    <row r="30" spans="5:17" ht="18" customHeight="1" x14ac:dyDescent="0.25">
      <c r="E30" s="373" t="s">
        <v>513</v>
      </c>
      <c r="F30" s="345">
        <v>0</v>
      </c>
      <c r="G30" s="373">
        <v>3276000</v>
      </c>
      <c r="H30" s="373">
        <v>0</v>
      </c>
      <c r="I30" s="345">
        <v>0</v>
      </c>
      <c r="J30" s="373">
        <v>5000000</v>
      </c>
      <c r="K30" s="373">
        <v>0</v>
      </c>
      <c r="L30" s="345">
        <v>0</v>
      </c>
      <c r="M30" s="373">
        <v>50000</v>
      </c>
      <c r="N30" s="373">
        <v>0</v>
      </c>
      <c r="O30" s="457"/>
      <c r="P30" s="456"/>
      <c r="Q30" s="456"/>
    </row>
    <row r="31" spans="5:17" ht="18" customHeight="1" x14ac:dyDescent="0.25">
      <c r="E31" s="373" t="s">
        <v>296</v>
      </c>
      <c r="F31" s="345">
        <v>1</v>
      </c>
      <c r="G31" s="373">
        <v>3276000</v>
      </c>
      <c r="H31" s="373">
        <v>3276000</v>
      </c>
      <c r="I31" s="345">
        <v>1</v>
      </c>
      <c r="J31" s="373">
        <v>5000000</v>
      </c>
      <c r="K31" s="373">
        <v>5000000</v>
      </c>
      <c r="L31" s="345">
        <v>3</v>
      </c>
      <c r="M31" s="373">
        <v>50000</v>
      </c>
      <c r="N31" s="373">
        <v>150000</v>
      </c>
      <c r="O31" s="457"/>
      <c r="P31" s="456"/>
      <c r="Q31" s="456"/>
    </row>
    <row r="32" spans="5:17" ht="18" customHeight="1" x14ac:dyDescent="0.25">
      <c r="E32" s="373" t="s">
        <v>277</v>
      </c>
      <c r="F32" s="345">
        <v>1</v>
      </c>
      <c r="G32" s="373">
        <v>3276000</v>
      </c>
      <c r="H32" s="373">
        <v>3276000</v>
      </c>
      <c r="I32" s="345">
        <v>1</v>
      </c>
      <c r="J32" s="373">
        <v>5000000</v>
      </c>
      <c r="K32" s="373">
        <v>5000000</v>
      </c>
      <c r="L32" s="345">
        <v>3</v>
      </c>
      <c r="M32" s="373">
        <v>50000</v>
      </c>
      <c r="N32" s="373">
        <v>150000</v>
      </c>
      <c r="O32" s="457"/>
      <c r="P32" s="456"/>
      <c r="Q32" s="456"/>
    </row>
    <row r="33" spans="5:17" ht="18" customHeight="1" x14ac:dyDescent="0.25">
      <c r="E33" s="373" t="s">
        <v>278</v>
      </c>
      <c r="F33" s="345">
        <v>1</v>
      </c>
      <c r="G33" s="373">
        <v>3276000</v>
      </c>
      <c r="H33" s="373">
        <v>3276000</v>
      </c>
      <c r="I33" s="345">
        <v>1</v>
      </c>
      <c r="J33" s="373">
        <v>5000000</v>
      </c>
      <c r="K33" s="373">
        <v>5000000</v>
      </c>
      <c r="L33" s="345">
        <v>3</v>
      </c>
      <c r="M33" s="373">
        <v>50000</v>
      </c>
      <c r="N33" s="373">
        <v>150000</v>
      </c>
      <c r="O33" s="457"/>
      <c r="P33" s="456"/>
      <c r="Q33" s="456"/>
    </row>
    <row r="34" spans="5:17" s="606" customFormat="1" ht="18" customHeight="1" x14ac:dyDescent="0.25">
      <c r="E34" s="518" t="s">
        <v>284</v>
      </c>
      <c r="F34" s="518">
        <f>SUM(F24:F33)</f>
        <v>7</v>
      </c>
      <c r="G34" s="960">
        <f>SUM(H24:H33)</f>
        <v>22932000</v>
      </c>
      <c r="H34" s="961"/>
      <c r="I34" s="518">
        <f>SUM(I24:I33)</f>
        <v>7</v>
      </c>
      <c r="J34" s="960">
        <f>SUM(K24:K33)</f>
        <v>35000000</v>
      </c>
      <c r="K34" s="961"/>
      <c r="L34" s="518">
        <f>SUM(L24:L33)</f>
        <v>21</v>
      </c>
      <c r="M34" s="960">
        <f>SUM(N24:N33)</f>
        <v>1050000</v>
      </c>
      <c r="N34" s="961"/>
      <c r="O34" s="520"/>
      <c r="P34" s="604"/>
      <c r="Q34" s="604"/>
    </row>
    <row r="35" spans="5:17" s="606" customFormat="1" ht="18" customHeight="1" x14ac:dyDescent="0.25">
      <c r="E35" s="518" t="s">
        <v>159</v>
      </c>
      <c r="F35" s="518"/>
      <c r="G35" s="960">
        <f>G34*0.16</f>
        <v>3669120</v>
      </c>
      <c r="H35" s="961"/>
      <c r="I35" s="518"/>
      <c r="J35" s="960">
        <f>J34*0.16</f>
        <v>5600000</v>
      </c>
      <c r="K35" s="961"/>
      <c r="L35" s="518"/>
      <c r="M35" s="960">
        <f>M34*0.16</f>
        <v>168000</v>
      </c>
      <c r="N35" s="961"/>
      <c r="O35" s="520"/>
      <c r="P35" s="604"/>
      <c r="Q35" s="604"/>
    </row>
    <row r="36" spans="5:17" s="606" customFormat="1" ht="18" customHeight="1" x14ac:dyDescent="0.25">
      <c r="E36" s="518" t="s">
        <v>298</v>
      </c>
      <c r="F36" s="518"/>
      <c r="G36" s="960">
        <f>SUM(G34:H35)</f>
        <v>26601120</v>
      </c>
      <c r="H36" s="961"/>
      <c r="I36" s="518"/>
      <c r="J36" s="960">
        <f>SUM(J34:K35)</f>
        <v>40600000</v>
      </c>
      <c r="K36" s="961"/>
      <c r="L36" s="518"/>
      <c r="M36" s="960">
        <f>SUM(M34:N35)</f>
        <v>1218000</v>
      </c>
      <c r="N36" s="961"/>
      <c r="O36" s="520"/>
      <c r="P36" s="604"/>
      <c r="Q36" s="604"/>
    </row>
    <row r="37" spans="5:17" ht="18" customHeight="1" x14ac:dyDescent="0.25">
      <c r="E37" s="595"/>
      <c r="J37" s="944" t="s">
        <v>161</v>
      </c>
      <c r="K37" s="944"/>
      <c r="L37" s="944"/>
      <c r="M37" s="903">
        <f>+M36+J36+G36+P18+M18+J18+G18</f>
        <v>80306141.12000002</v>
      </c>
      <c r="N37" s="944"/>
    </row>
    <row r="38" spans="5:17" x14ac:dyDescent="0.25">
      <c r="E38" s="595"/>
    </row>
    <row r="39" spans="5:17" x14ac:dyDescent="0.25">
      <c r="E39" s="595"/>
    </row>
    <row r="40" spans="5:17" x14ac:dyDescent="0.25">
      <c r="E40" s="595"/>
    </row>
    <row r="41" spans="5:17" x14ac:dyDescent="0.25">
      <c r="E41" s="595"/>
    </row>
    <row r="42" spans="5:17" x14ac:dyDescent="0.25">
      <c r="E42" s="595"/>
    </row>
    <row r="43" spans="5:17" x14ac:dyDescent="0.25">
      <c r="E43" s="595"/>
    </row>
    <row r="44" spans="5:17" x14ac:dyDescent="0.25">
      <c r="E44" s="595"/>
    </row>
    <row r="45" spans="5:17" x14ac:dyDescent="0.25">
      <c r="E45" s="595"/>
    </row>
    <row r="46" spans="5:17" x14ac:dyDescent="0.25">
      <c r="E46" s="595"/>
    </row>
    <row r="47" spans="5:17" x14ac:dyDescent="0.25">
      <c r="E47" s="595"/>
    </row>
    <row r="48" spans="5:17" x14ac:dyDescent="0.25">
      <c r="E48" s="595"/>
    </row>
    <row r="49" spans="5:5" x14ac:dyDescent="0.25">
      <c r="E49" s="595"/>
    </row>
    <row r="50" spans="5:5" x14ac:dyDescent="0.25">
      <c r="E50" s="595"/>
    </row>
    <row r="51" spans="5:5" x14ac:dyDescent="0.25">
      <c r="E51" s="595"/>
    </row>
    <row r="52" spans="5:5" x14ac:dyDescent="0.25">
      <c r="E52" s="595"/>
    </row>
    <row r="53" spans="5:5" x14ac:dyDescent="0.25">
      <c r="E53" s="595"/>
    </row>
    <row r="54" spans="5:5" x14ac:dyDescent="0.25">
      <c r="E54" s="595"/>
    </row>
  </sheetData>
  <mergeCells count="35">
    <mergeCell ref="L22:N22"/>
    <mergeCell ref="G35:H35"/>
    <mergeCell ref="J35:K35"/>
    <mergeCell ref="M35:N35"/>
    <mergeCell ref="G34:H34"/>
    <mergeCell ref="J34:K34"/>
    <mergeCell ref="M34:N34"/>
    <mergeCell ref="J37:L37"/>
    <mergeCell ref="M37:N37"/>
    <mergeCell ref="G36:H36"/>
    <mergeCell ref="J36:K36"/>
    <mergeCell ref="M36:N36"/>
    <mergeCell ref="O22:Q22"/>
    <mergeCell ref="E4:E5"/>
    <mergeCell ref="F4:H4"/>
    <mergeCell ref="I4:K4"/>
    <mergeCell ref="L4:N4"/>
    <mergeCell ref="O4:Q4"/>
    <mergeCell ref="M16:N16"/>
    <mergeCell ref="M17:N17"/>
    <mergeCell ref="M18:N18"/>
    <mergeCell ref="G16:H16"/>
    <mergeCell ref="G17:H17"/>
    <mergeCell ref="G18:H18"/>
    <mergeCell ref="E21:N21"/>
    <mergeCell ref="E22:E23"/>
    <mergeCell ref="F22:H22"/>
    <mergeCell ref="I22:K22"/>
    <mergeCell ref="E3:Q3"/>
    <mergeCell ref="P16:Q16"/>
    <mergeCell ref="P17:Q17"/>
    <mergeCell ref="P18:Q18"/>
    <mergeCell ref="J16:K16"/>
    <mergeCell ref="J17:K17"/>
    <mergeCell ref="J18:K18"/>
  </mergeCells>
  <pageMargins left="0.7" right="0.7" top="0.75" bottom="0.75" header="0.3" footer="0.3"/>
  <pageSetup paperSize="5"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view="pageLayout" zoomScaleNormal="100" workbookViewId="0">
      <selection sqref="A1:F1"/>
    </sheetView>
  </sheetViews>
  <sheetFormatPr baseColWidth="10" defaultRowHeight="15" x14ac:dyDescent="0.25"/>
  <cols>
    <col min="1" max="1" width="4.85546875" style="145" customWidth="1"/>
    <col min="2" max="2" width="43.85546875" style="145" customWidth="1"/>
    <col min="3" max="3" width="12.5703125" style="145" customWidth="1"/>
    <col min="4" max="4" width="12.85546875" style="145" customWidth="1"/>
    <col min="5" max="5" width="13.140625" style="145" customWidth="1"/>
    <col min="6" max="6" width="17.42578125" style="145" customWidth="1"/>
    <col min="7" max="16384" width="11.42578125" style="145"/>
  </cols>
  <sheetData>
    <row r="1" spans="1:6" ht="18" x14ac:dyDescent="0.25">
      <c r="A1" s="848" t="s">
        <v>1985</v>
      </c>
      <c r="B1" s="848"/>
      <c r="C1" s="848"/>
      <c r="D1" s="848"/>
      <c r="E1" s="848"/>
      <c r="F1" s="848"/>
    </row>
    <row r="2" spans="1:6" ht="18" x14ac:dyDescent="0.25">
      <c r="A2" s="849" t="s">
        <v>1986</v>
      </c>
      <c r="B2" s="850"/>
      <c r="C2" s="850"/>
      <c r="D2" s="850"/>
      <c r="E2" s="850"/>
      <c r="F2" s="851"/>
    </row>
    <row r="3" spans="1:6" ht="18" x14ac:dyDescent="0.25">
      <c r="A3" s="852" t="s">
        <v>1987</v>
      </c>
      <c r="B3" s="848"/>
      <c r="C3" s="848"/>
      <c r="D3" s="848"/>
      <c r="E3" s="848"/>
      <c r="F3" s="853"/>
    </row>
    <row r="4" spans="1:6" ht="42" customHeight="1" x14ac:dyDescent="0.25">
      <c r="A4" s="788" t="s">
        <v>305</v>
      </c>
      <c r="B4" s="788" t="s">
        <v>555</v>
      </c>
      <c r="C4" s="786" t="s">
        <v>1988</v>
      </c>
      <c r="D4" s="786" t="s">
        <v>1989</v>
      </c>
      <c r="E4" s="786" t="s">
        <v>1990</v>
      </c>
      <c r="F4" s="786" t="s">
        <v>284</v>
      </c>
    </row>
    <row r="5" spans="1:6" ht="28.35" customHeight="1" x14ac:dyDescent="0.25">
      <c r="A5" s="854">
        <v>1</v>
      </c>
      <c r="B5" s="815" t="s">
        <v>1991</v>
      </c>
      <c r="C5" s="816"/>
      <c r="D5" s="816"/>
      <c r="E5" s="816"/>
      <c r="F5" s="857">
        <f>SUM(D11:E11)</f>
        <v>1007955394</v>
      </c>
    </row>
    <row r="6" spans="1:6" ht="31.5" customHeight="1" x14ac:dyDescent="0.25">
      <c r="A6" s="855"/>
      <c r="B6" s="817" t="s">
        <v>1992</v>
      </c>
      <c r="C6" s="818">
        <v>500000000</v>
      </c>
      <c r="D6" s="818">
        <f>+C6*0.3</f>
        <v>150000000</v>
      </c>
      <c r="E6" s="818">
        <f>+C6*70/100</f>
        <v>350000000</v>
      </c>
      <c r="F6" s="858"/>
    </row>
    <row r="7" spans="1:6" ht="42" customHeight="1" x14ac:dyDescent="0.25">
      <c r="A7" s="855"/>
      <c r="B7" s="817" t="s">
        <v>1993</v>
      </c>
      <c r="C7" s="818">
        <v>346000000</v>
      </c>
      <c r="D7" s="818">
        <f>+C7*0.3</f>
        <v>103800000</v>
      </c>
      <c r="E7" s="818">
        <f>+C7-D7</f>
        <v>242200000</v>
      </c>
      <c r="F7" s="858"/>
    </row>
    <row r="8" spans="1:6" ht="29.25" customHeight="1" x14ac:dyDescent="0.25">
      <c r="A8" s="855"/>
      <c r="B8" s="755" t="s">
        <v>1994</v>
      </c>
      <c r="C8" s="818">
        <v>6906410</v>
      </c>
      <c r="D8" s="818">
        <f t="shared" ref="D8:D47" si="0">+C8*0.3</f>
        <v>2071923</v>
      </c>
      <c r="E8" s="818">
        <f>+C8-D8</f>
        <v>4834487</v>
      </c>
      <c r="F8" s="858"/>
    </row>
    <row r="9" spans="1:6" ht="42.75" customHeight="1" x14ac:dyDescent="0.25">
      <c r="A9" s="855"/>
      <c r="B9" s="755" t="s">
        <v>1995</v>
      </c>
      <c r="C9" s="818">
        <v>141548984</v>
      </c>
      <c r="D9" s="818">
        <f>+C9*0.3</f>
        <v>42464695.199999996</v>
      </c>
      <c r="E9" s="818">
        <f>+C9-D9</f>
        <v>99084288.800000012</v>
      </c>
      <c r="F9" s="858"/>
    </row>
    <row r="10" spans="1:6" ht="30" customHeight="1" x14ac:dyDescent="0.25">
      <c r="A10" s="855"/>
      <c r="B10" s="755" t="s">
        <v>1996</v>
      </c>
      <c r="C10" s="818">
        <v>13500000</v>
      </c>
      <c r="D10" s="818">
        <f t="shared" si="0"/>
        <v>4050000</v>
      </c>
      <c r="E10" s="818">
        <f>+C10-D10</f>
        <v>9450000</v>
      </c>
      <c r="F10" s="858"/>
    </row>
    <row r="11" spans="1:6" ht="18.75" customHeight="1" x14ac:dyDescent="0.25">
      <c r="A11" s="856"/>
      <c r="B11" s="801" t="s">
        <v>284</v>
      </c>
      <c r="C11" s="819">
        <f>SUM(C6:C10)</f>
        <v>1007955394</v>
      </c>
      <c r="D11" s="819">
        <f t="shared" si="0"/>
        <v>302386618.19999999</v>
      </c>
      <c r="E11" s="819">
        <f>+C11-D11</f>
        <v>705568775.79999995</v>
      </c>
      <c r="F11" s="859"/>
    </row>
    <row r="12" spans="1:6" ht="28.35" customHeight="1" x14ac:dyDescent="0.25">
      <c r="A12" s="854">
        <v>2</v>
      </c>
      <c r="B12" s="815" t="s">
        <v>1997</v>
      </c>
      <c r="C12" s="820"/>
      <c r="D12" s="821"/>
      <c r="E12" s="821"/>
      <c r="F12" s="857">
        <f>SUM(D17:E17)</f>
        <v>1243033492</v>
      </c>
    </row>
    <row r="13" spans="1:6" ht="24" customHeight="1" x14ac:dyDescent="0.25">
      <c r="A13" s="855"/>
      <c r="B13" s="817" t="s">
        <v>1998</v>
      </c>
      <c r="C13" s="802">
        <v>800000000</v>
      </c>
      <c r="D13" s="802">
        <f t="shared" si="0"/>
        <v>240000000</v>
      </c>
      <c r="E13" s="802">
        <f>+C13-D13</f>
        <v>560000000</v>
      </c>
      <c r="F13" s="858"/>
    </row>
    <row r="14" spans="1:6" ht="42" customHeight="1" x14ac:dyDescent="0.25">
      <c r="A14" s="855"/>
      <c r="B14" s="817" t="s">
        <v>1993</v>
      </c>
      <c r="C14" s="802">
        <v>295000000</v>
      </c>
      <c r="D14" s="802">
        <f>+C14*0.3</f>
        <v>88500000</v>
      </c>
      <c r="E14" s="802">
        <f>+C14-D14</f>
        <v>206500000</v>
      </c>
      <c r="F14" s="858"/>
    </row>
    <row r="15" spans="1:6" ht="42" customHeight="1" x14ac:dyDescent="0.25">
      <c r="A15" s="855"/>
      <c r="B15" s="755" t="s">
        <v>1999</v>
      </c>
      <c r="C15" s="802">
        <v>137633492</v>
      </c>
      <c r="D15" s="802">
        <f>+C15*0.3</f>
        <v>41290047.600000001</v>
      </c>
      <c r="E15" s="802">
        <f>+C15-D15</f>
        <v>96343444.400000006</v>
      </c>
      <c r="F15" s="858"/>
    </row>
    <row r="16" spans="1:6" ht="32.25" customHeight="1" x14ac:dyDescent="0.25">
      <c r="A16" s="855"/>
      <c r="B16" s="755" t="s">
        <v>559</v>
      </c>
      <c r="C16" s="802">
        <v>10400000</v>
      </c>
      <c r="D16" s="802">
        <f t="shared" si="0"/>
        <v>3120000</v>
      </c>
      <c r="E16" s="802">
        <f>+C16-D16</f>
        <v>7280000</v>
      </c>
      <c r="F16" s="858"/>
    </row>
    <row r="17" spans="1:6" ht="21" customHeight="1" x14ac:dyDescent="0.25">
      <c r="A17" s="856"/>
      <c r="B17" s="801" t="s">
        <v>284</v>
      </c>
      <c r="C17" s="803">
        <f>SUM(C13:C16)</f>
        <v>1243033492</v>
      </c>
      <c r="D17" s="803">
        <f t="shared" si="0"/>
        <v>372910047.59999996</v>
      </c>
      <c r="E17" s="803">
        <f>+C17-D17</f>
        <v>870123444.4000001</v>
      </c>
      <c r="F17" s="859"/>
    </row>
    <row r="18" spans="1:6" ht="28.35" customHeight="1" x14ac:dyDescent="0.25">
      <c r="A18" s="854">
        <v>3</v>
      </c>
      <c r="B18" s="815" t="s">
        <v>2000</v>
      </c>
      <c r="C18" s="820"/>
      <c r="D18" s="821"/>
      <c r="E18" s="821"/>
      <c r="F18" s="857">
        <f>SUM(D23:E23)</f>
        <v>980587881</v>
      </c>
    </row>
    <row r="19" spans="1:6" ht="42" customHeight="1" x14ac:dyDescent="0.25">
      <c r="A19" s="855"/>
      <c r="B19" s="817" t="s">
        <v>2001</v>
      </c>
      <c r="C19" s="802">
        <v>545347914</v>
      </c>
      <c r="D19" s="802">
        <f t="shared" si="0"/>
        <v>163604374.19999999</v>
      </c>
      <c r="E19" s="802">
        <f t="shared" ref="E19:E26" si="1">+C19-D19</f>
        <v>381743539.80000001</v>
      </c>
      <c r="F19" s="858"/>
    </row>
    <row r="20" spans="1:6" ht="42" customHeight="1" x14ac:dyDescent="0.25">
      <c r="A20" s="855"/>
      <c r="B20" s="817" t="s">
        <v>1993</v>
      </c>
      <c r="C20" s="802">
        <v>259088843</v>
      </c>
      <c r="D20" s="802">
        <f t="shared" si="0"/>
        <v>77726652.899999991</v>
      </c>
      <c r="E20" s="802">
        <f t="shared" si="1"/>
        <v>181362190.10000002</v>
      </c>
      <c r="F20" s="858"/>
    </row>
    <row r="21" spans="1:6" ht="42" customHeight="1" x14ac:dyDescent="0.25">
      <c r="A21" s="855"/>
      <c r="B21" s="755" t="s">
        <v>2002</v>
      </c>
      <c r="C21" s="802">
        <v>149151124</v>
      </c>
      <c r="D21" s="802">
        <f t="shared" si="0"/>
        <v>44745337.199999996</v>
      </c>
      <c r="E21" s="802">
        <f t="shared" si="1"/>
        <v>104405786.80000001</v>
      </c>
      <c r="F21" s="858"/>
    </row>
    <row r="22" spans="1:6" ht="42" customHeight="1" x14ac:dyDescent="0.25">
      <c r="A22" s="855"/>
      <c r="B22" s="755" t="s">
        <v>1994</v>
      </c>
      <c r="C22" s="802">
        <v>27000000</v>
      </c>
      <c r="D22" s="802">
        <f t="shared" si="0"/>
        <v>8100000</v>
      </c>
      <c r="E22" s="802">
        <f t="shared" si="1"/>
        <v>18900000</v>
      </c>
      <c r="F22" s="858"/>
    </row>
    <row r="23" spans="1:6" ht="18.75" customHeight="1" x14ac:dyDescent="0.25">
      <c r="A23" s="856"/>
      <c r="B23" s="801" t="s">
        <v>284</v>
      </c>
      <c r="C23" s="819">
        <f>SUM(C19:C22)</f>
        <v>980587881</v>
      </c>
      <c r="D23" s="819">
        <f t="shared" si="0"/>
        <v>294176364.30000001</v>
      </c>
      <c r="E23" s="819">
        <f t="shared" si="1"/>
        <v>686411516.70000005</v>
      </c>
      <c r="F23" s="859"/>
    </row>
    <row r="24" spans="1:6" ht="28.35" customHeight="1" x14ac:dyDescent="0.25">
      <c r="A24" s="854">
        <v>4</v>
      </c>
      <c r="B24" s="815" t="s">
        <v>2003</v>
      </c>
      <c r="C24" s="816"/>
      <c r="D24" s="822"/>
      <c r="E24" s="822"/>
      <c r="F24" s="857">
        <f>SUM(D28:E28)</f>
        <v>760103586</v>
      </c>
    </row>
    <row r="25" spans="1:6" ht="42" customHeight="1" x14ac:dyDescent="0.25">
      <c r="A25" s="855"/>
      <c r="B25" s="817" t="s">
        <v>2004</v>
      </c>
      <c r="C25" s="818">
        <v>594970094</v>
      </c>
      <c r="D25" s="818">
        <f t="shared" si="0"/>
        <v>178491028.19999999</v>
      </c>
      <c r="E25" s="818">
        <f t="shared" si="1"/>
        <v>416479065.80000001</v>
      </c>
      <c r="F25" s="858"/>
    </row>
    <row r="26" spans="1:6" ht="42" customHeight="1" x14ac:dyDescent="0.25">
      <c r="A26" s="855"/>
      <c r="B26" s="755" t="s">
        <v>2005</v>
      </c>
      <c r="C26" s="802">
        <v>137633492</v>
      </c>
      <c r="D26" s="802">
        <f>+C26*0.3</f>
        <v>41290047.600000001</v>
      </c>
      <c r="E26" s="802">
        <f t="shared" si="1"/>
        <v>96343444.400000006</v>
      </c>
      <c r="F26" s="858"/>
    </row>
    <row r="27" spans="1:6" ht="38.25" customHeight="1" x14ac:dyDescent="0.25">
      <c r="A27" s="855"/>
      <c r="B27" s="755" t="s">
        <v>2006</v>
      </c>
      <c r="C27" s="818">
        <v>27500000</v>
      </c>
      <c r="D27" s="802">
        <f>+C27*0.3</f>
        <v>8250000</v>
      </c>
      <c r="E27" s="802">
        <f>+C27-D27</f>
        <v>19250000</v>
      </c>
      <c r="F27" s="858"/>
    </row>
    <row r="28" spans="1:6" ht="19.5" customHeight="1" x14ac:dyDescent="0.25">
      <c r="A28" s="856"/>
      <c r="B28" s="801" t="s">
        <v>284</v>
      </c>
      <c r="C28" s="819">
        <f>SUM(C25:C27)</f>
        <v>760103586</v>
      </c>
      <c r="D28" s="819">
        <f t="shared" si="0"/>
        <v>228031075.79999998</v>
      </c>
      <c r="E28" s="819">
        <f>+C28-D28</f>
        <v>532072510.20000005</v>
      </c>
      <c r="F28" s="859"/>
    </row>
    <row r="29" spans="1:6" ht="28.35" customHeight="1" x14ac:dyDescent="0.25">
      <c r="A29" s="854">
        <v>5</v>
      </c>
      <c r="B29" s="815" t="s">
        <v>2007</v>
      </c>
      <c r="C29" s="816"/>
      <c r="D29" s="822"/>
      <c r="E29" s="822"/>
      <c r="F29" s="857">
        <f>SUM(D32:E32)</f>
        <v>103944470</v>
      </c>
    </row>
    <row r="30" spans="1:6" ht="42" customHeight="1" x14ac:dyDescent="0.25">
      <c r="A30" s="855"/>
      <c r="B30" s="817" t="s">
        <v>2008</v>
      </c>
      <c r="C30" s="818">
        <v>93944470</v>
      </c>
      <c r="D30" s="818">
        <f t="shared" si="0"/>
        <v>28183341</v>
      </c>
      <c r="E30" s="818">
        <f>+C30-D30</f>
        <v>65761129</v>
      </c>
      <c r="F30" s="858"/>
    </row>
    <row r="31" spans="1:6" ht="42" customHeight="1" x14ac:dyDescent="0.25">
      <c r="A31" s="855"/>
      <c r="B31" s="755" t="s">
        <v>2009</v>
      </c>
      <c r="C31" s="818">
        <v>10000000</v>
      </c>
      <c r="D31" s="818">
        <f t="shared" si="0"/>
        <v>3000000</v>
      </c>
      <c r="E31" s="818">
        <f>+C31-D31</f>
        <v>7000000</v>
      </c>
      <c r="F31" s="858"/>
    </row>
    <row r="32" spans="1:6" ht="36.75" customHeight="1" x14ac:dyDescent="0.25">
      <c r="A32" s="856"/>
      <c r="B32" s="801" t="s">
        <v>284</v>
      </c>
      <c r="C32" s="819">
        <f>SUM(C30:C31)</f>
        <v>103944470</v>
      </c>
      <c r="D32" s="819">
        <f t="shared" si="0"/>
        <v>31183341</v>
      </c>
      <c r="E32" s="819">
        <f>+C32-D32</f>
        <v>72761129</v>
      </c>
      <c r="F32" s="859"/>
    </row>
    <row r="33" spans="1:6" ht="51.75" customHeight="1" x14ac:dyDescent="0.25">
      <c r="A33" s="810"/>
      <c r="B33" s="824"/>
      <c r="C33" s="825"/>
      <c r="D33" s="825"/>
      <c r="E33" s="825"/>
      <c r="F33" s="813"/>
    </row>
    <row r="34" spans="1:6" ht="28.35" customHeight="1" x14ac:dyDescent="0.25">
      <c r="A34" s="854">
        <v>6</v>
      </c>
      <c r="B34" s="815" t="s">
        <v>577</v>
      </c>
      <c r="C34" s="816"/>
      <c r="D34" s="822"/>
      <c r="E34" s="822"/>
      <c r="F34" s="857">
        <f>SUM(D36:E36)</f>
        <v>711000</v>
      </c>
    </row>
    <row r="35" spans="1:6" ht="42" customHeight="1" x14ac:dyDescent="0.25">
      <c r="A35" s="855"/>
      <c r="B35" s="755" t="s">
        <v>2010</v>
      </c>
      <c r="C35" s="818">
        <v>711000</v>
      </c>
      <c r="D35" s="818">
        <f>+C35*0.3</f>
        <v>213300</v>
      </c>
      <c r="E35" s="818">
        <f>+C35-D35</f>
        <v>497700</v>
      </c>
      <c r="F35" s="858"/>
    </row>
    <row r="36" spans="1:6" ht="17.25" customHeight="1" x14ac:dyDescent="0.25">
      <c r="A36" s="856"/>
      <c r="B36" s="801" t="s">
        <v>284</v>
      </c>
      <c r="C36" s="819">
        <f>SUM(C35:C35)</f>
        <v>711000</v>
      </c>
      <c r="D36" s="819">
        <f t="shared" si="0"/>
        <v>213300</v>
      </c>
      <c r="E36" s="819">
        <f>+C36-D36</f>
        <v>497700</v>
      </c>
      <c r="F36" s="859"/>
    </row>
    <row r="37" spans="1:6" ht="28.35" customHeight="1" x14ac:dyDescent="0.25">
      <c r="A37" s="854">
        <v>7</v>
      </c>
      <c r="B37" s="815" t="s">
        <v>316</v>
      </c>
      <c r="C37" s="816"/>
      <c r="D37" s="822"/>
      <c r="E37" s="822"/>
      <c r="F37" s="857">
        <f>SUM(D40:E40)</f>
        <v>82224164</v>
      </c>
    </row>
    <row r="38" spans="1:6" ht="42.75" customHeight="1" x14ac:dyDescent="0.25">
      <c r="A38" s="855"/>
      <c r="B38" s="755" t="s">
        <v>2010</v>
      </c>
      <c r="C38" s="818">
        <v>1479945</v>
      </c>
      <c r="D38" s="818">
        <f>+C38*0.3</f>
        <v>443983.5</v>
      </c>
      <c r="E38" s="818">
        <f>+C38-D38</f>
        <v>1035961.5</v>
      </c>
      <c r="F38" s="858"/>
    </row>
    <row r="39" spans="1:6" ht="42" customHeight="1" x14ac:dyDescent="0.25">
      <c r="A39" s="855"/>
      <c r="B39" s="755" t="s">
        <v>2005</v>
      </c>
      <c r="C39" s="818">
        <v>80744219</v>
      </c>
      <c r="D39" s="818">
        <f>+C39*0.3</f>
        <v>24223265.699999999</v>
      </c>
      <c r="E39" s="818">
        <f>+C39-D39</f>
        <v>56520953.299999997</v>
      </c>
      <c r="F39" s="858"/>
    </row>
    <row r="40" spans="1:6" ht="17.25" customHeight="1" x14ac:dyDescent="0.25">
      <c r="A40" s="856"/>
      <c r="B40" s="801" t="s">
        <v>284</v>
      </c>
      <c r="C40" s="819">
        <f>SUM(C38:C39)</f>
        <v>82224164</v>
      </c>
      <c r="D40" s="819">
        <f>+C40*0.3</f>
        <v>24667249.199999999</v>
      </c>
      <c r="E40" s="819">
        <f>+C40-D40</f>
        <v>57556914.799999997</v>
      </c>
      <c r="F40" s="859"/>
    </row>
    <row r="41" spans="1:6" ht="28.35" customHeight="1" x14ac:dyDescent="0.25">
      <c r="A41" s="854">
        <v>8</v>
      </c>
      <c r="B41" s="815" t="s">
        <v>2011</v>
      </c>
      <c r="C41" s="816"/>
      <c r="D41" s="822"/>
      <c r="E41" s="822"/>
      <c r="F41" s="857">
        <f>SUM(D43:E43)</f>
        <v>540000000</v>
      </c>
    </row>
    <row r="42" spans="1:6" ht="42" customHeight="1" x14ac:dyDescent="0.25">
      <c r="A42" s="855"/>
      <c r="B42" s="804" t="s">
        <v>2012</v>
      </c>
      <c r="C42" s="805">
        <v>540000000</v>
      </c>
      <c r="D42" s="805">
        <f>+C42*0.3</f>
        <v>162000000</v>
      </c>
      <c r="E42" s="805">
        <f>+C42-D42</f>
        <v>378000000</v>
      </c>
      <c r="F42" s="858"/>
    </row>
    <row r="43" spans="1:6" x14ac:dyDescent="0.25">
      <c r="A43" s="856"/>
      <c r="B43" s="806" t="s">
        <v>284</v>
      </c>
      <c r="C43" s="807">
        <f>SUM(C42:C42)</f>
        <v>540000000</v>
      </c>
      <c r="D43" s="807">
        <f>+C43*0.3</f>
        <v>162000000</v>
      </c>
      <c r="E43" s="807">
        <f>+C43-D43</f>
        <v>378000000</v>
      </c>
      <c r="F43" s="859"/>
    </row>
    <row r="44" spans="1:6" ht="28.35" customHeight="1" x14ac:dyDescent="0.25">
      <c r="A44" s="854">
        <v>8</v>
      </c>
      <c r="B44" s="815" t="s">
        <v>557</v>
      </c>
      <c r="C44" s="816"/>
      <c r="D44" s="822"/>
      <c r="E44" s="822"/>
      <c r="F44" s="857">
        <f>SUM(D47:E47)</f>
        <v>11583956</v>
      </c>
    </row>
    <row r="45" spans="1:6" ht="42" customHeight="1" x14ac:dyDescent="0.25">
      <c r="A45" s="855"/>
      <c r="B45" s="804" t="s">
        <v>2010</v>
      </c>
      <c r="C45" s="805">
        <v>1183956</v>
      </c>
      <c r="D45" s="805">
        <f t="shared" si="0"/>
        <v>355186.8</v>
      </c>
      <c r="E45" s="805">
        <f>+C45-D45</f>
        <v>828769.2</v>
      </c>
      <c r="F45" s="858"/>
    </row>
    <row r="46" spans="1:6" ht="42" customHeight="1" x14ac:dyDescent="0.25">
      <c r="A46" s="855"/>
      <c r="B46" s="804" t="s">
        <v>559</v>
      </c>
      <c r="C46" s="805">
        <v>10400000</v>
      </c>
      <c r="D46" s="805">
        <f t="shared" si="0"/>
        <v>3120000</v>
      </c>
      <c r="E46" s="805">
        <f>+C46-D46</f>
        <v>7280000</v>
      </c>
      <c r="F46" s="858"/>
    </row>
    <row r="47" spans="1:6" x14ac:dyDescent="0.25">
      <c r="A47" s="856"/>
      <c r="B47" s="806" t="s">
        <v>284</v>
      </c>
      <c r="C47" s="807">
        <f>SUM(C45:C46)</f>
        <v>11583956</v>
      </c>
      <c r="D47" s="807">
        <f t="shared" si="0"/>
        <v>3475186.8</v>
      </c>
      <c r="E47" s="807">
        <f>+C47-D47</f>
        <v>8108769.2000000002</v>
      </c>
      <c r="F47" s="859"/>
    </row>
    <row r="48" spans="1:6" ht="28.35" customHeight="1" x14ac:dyDescent="0.25">
      <c r="A48" s="854">
        <v>9</v>
      </c>
      <c r="B48" s="823" t="s">
        <v>576</v>
      </c>
      <c r="C48" s="816"/>
      <c r="D48" s="822"/>
      <c r="E48" s="822"/>
      <c r="F48" s="857">
        <f>SUM(D51:E51)</f>
        <v>69703677</v>
      </c>
    </row>
    <row r="49" spans="1:6" ht="42" customHeight="1" x14ac:dyDescent="0.25">
      <c r="A49" s="855"/>
      <c r="B49" s="808" t="s">
        <v>2010</v>
      </c>
      <c r="C49" s="805"/>
      <c r="D49" s="805"/>
      <c r="E49" s="805"/>
      <c r="F49" s="858"/>
    </row>
    <row r="50" spans="1:6" ht="42" customHeight="1" x14ac:dyDescent="0.25">
      <c r="A50" s="855"/>
      <c r="B50" s="808" t="s">
        <v>2013</v>
      </c>
      <c r="C50" s="805">
        <v>69703677</v>
      </c>
      <c r="D50" s="805">
        <f>+C50*0.3</f>
        <v>20911103.099999998</v>
      </c>
      <c r="E50" s="805">
        <f>+C50-D50</f>
        <v>48792573.900000006</v>
      </c>
      <c r="F50" s="858"/>
    </row>
    <row r="51" spans="1:6" x14ac:dyDescent="0.25">
      <c r="A51" s="856"/>
      <c r="B51" s="809" t="s">
        <v>284</v>
      </c>
      <c r="C51" s="807">
        <f>SUM(C49:C50)</f>
        <v>69703677</v>
      </c>
      <c r="D51" s="807">
        <f>+C51*0.3</f>
        <v>20911103.099999998</v>
      </c>
      <c r="E51" s="807">
        <f>+C51-D51</f>
        <v>48792573.900000006</v>
      </c>
      <c r="F51" s="859"/>
    </row>
    <row r="52" spans="1:6" ht="28.35" customHeight="1" x14ac:dyDescent="0.25">
      <c r="A52" s="854">
        <v>10</v>
      </c>
      <c r="B52" s="823" t="s">
        <v>572</v>
      </c>
      <c r="C52" s="816"/>
      <c r="D52" s="822"/>
      <c r="E52" s="822"/>
      <c r="F52" s="857">
        <f>SUM(D54:E54)</f>
        <v>69703677</v>
      </c>
    </row>
    <row r="53" spans="1:6" ht="42" customHeight="1" x14ac:dyDescent="0.25">
      <c r="A53" s="855"/>
      <c r="B53" s="808" t="s">
        <v>2013</v>
      </c>
      <c r="C53" s="805">
        <v>69703677</v>
      </c>
      <c r="D53" s="805">
        <f>+C53*0.3</f>
        <v>20911103.099999998</v>
      </c>
      <c r="E53" s="805">
        <f>+C53-D53</f>
        <v>48792573.900000006</v>
      </c>
      <c r="F53" s="858"/>
    </row>
    <row r="54" spans="1:6" x14ac:dyDescent="0.25">
      <c r="A54" s="856"/>
      <c r="B54" s="809" t="s">
        <v>284</v>
      </c>
      <c r="C54" s="807">
        <f>SUM(C53:C53)</f>
        <v>69703677</v>
      </c>
      <c r="D54" s="807">
        <f>+C54*0.3</f>
        <v>20911103.099999998</v>
      </c>
      <c r="E54" s="807">
        <f>+C54-D54</f>
        <v>48792573.900000006</v>
      </c>
      <c r="F54" s="859"/>
    </row>
    <row r="55" spans="1:6" ht="28.35" customHeight="1" x14ac:dyDescent="0.25">
      <c r="A55" s="854">
        <v>11</v>
      </c>
      <c r="B55" s="823" t="s">
        <v>2014</v>
      </c>
      <c r="C55" s="816"/>
      <c r="D55" s="822"/>
      <c r="E55" s="822"/>
      <c r="F55" s="857">
        <f>SUM(D58:E58)</f>
        <v>81637997</v>
      </c>
    </row>
    <row r="56" spans="1:6" ht="42" customHeight="1" x14ac:dyDescent="0.25">
      <c r="A56" s="855"/>
      <c r="B56" s="808" t="s">
        <v>2010</v>
      </c>
      <c r="C56" s="805">
        <v>1183956</v>
      </c>
      <c r="D56" s="805">
        <f>+C56*0.3</f>
        <v>355186.8</v>
      </c>
      <c r="E56" s="805">
        <f>+C56-D56</f>
        <v>828769.2</v>
      </c>
      <c r="F56" s="858"/>
    </row>
    <row r="57" spans="1:6" ht="42" customHeight="1" x14ac:dyDescent="0.25">
      <c r="A57" s="855"/>
      <c r="B57" s="808" t="s">
        <v>2013</v>
      </c>
      <c r="C57" s="805">
        <v>80454041</v>
      </c>
      <c r="D57" s="805">
        <f>+C57*0.3</f>
        <v>24136212.300000001</v>
      </c>
      <c r="E57" s="805">
        <f>+C57-D57</f>
        <v>56317828.700000003</v>
      </c>
      <c r="F57" s="858"/>
    </row>
    <row r="58" spans="1:6" x14ac:dyDescent="0.25">
      <c r="A58" s="856"/>
      <c r="B58" s="809" t="s">
        <v>284</v>
      </c>
      <c r="C58" s="807">
        <f>SUM(C56:C57)</f>
        <v>81637997</v>
      </c>
      <c r="D58" s="807">
        <f>+C58*0.3</f>
        <v>24491399.099999998</v>
      </c>
      <c r="E58" s="807">
        <f>+C58-D58</f>
        <v>57146597.900000006</v>
      </c>
      <c r="F58" s="859"/>
    </row>
    <row r="59" spans="1:6" ht="28.35" customHeight="1" x14ac:dyDescent="0.25">
      <c r="A59" s="854">
        <v>12</v>
      </c>
      <c r="B59" s="823" t="s">
        <v>568</v>
      </c>
      <c r="C59" s="816"/>
      <c r="D59" s="822"/>
      <c r="E59" s="822"/>
      <c r="F59" s="857">
        <f>SUM(D61:E61)</f>
        <v>70377996</v>
      </c>
    </row>
    <row r="60" spans="1:6" ht="42" customHeight="1" x14ac:dyDescent="0.25">
      <c r="A60" s="855"/>
      <c r="B60" s="808" t="s">
        <v>2013</v>
      </c>
      <c r="C60" s="805">
        <v>70377996</v>
      </c>
      <c r="D60" s="805">
        <f>+C60*0.3</f>
        <v>21113398.800000001</v>
      </c>
      <c r="E60" s="805">
        <f>+C60-D60</f>
        <v>49264597.200000003</v>
      </c>
      <c r="F60" s="858"/>
    </row>
    <row r="61" spans="1:6" x14ac:dyDescent="0.25">
      <c r="A61" s="856"/>
      <c r="B61" s="809" t="s">
        <v>284</v>
      </c>
      <c r="C61" s="807">
        <f>SUM(C60:C60)</f>
        <v>70377996</v>
      </c>
      <c r="D61" s="807">
        <f>+C61*0.3</f>
        <v>21113398.800000001</v>
      </c>
      <c r="E61" s="807">
        <f>+C61-D61</f>
        <v>49264597.200000003</v>
      </c>
      <c r="F61" s="859"/>
    </row>
    <row r="62" spans="1:6" ht="28.35" customHeight="1" x14ac:dyDescent="0.25">
      <c r="A62" s="854">
        <v>13</v>
      </c>
      <c r="B62" s="823" t="s">
        <v>2015</v>
      </c>
      <c r="C62" s="816"/>
      <c r="D62" s="822"/>
      <c r="E62" s="822"/>
      <c r="F62" s="857">
        <f>SUM(D65:E65)</f>
        <v>2088293354</v>
      </c>
    </row>
    <row r="63" spans="1:6" ht="42" customHeight="1" x14ac:dyDescent="0.25">
      <c r="A63" s="855"/>
      <c r="B63" s="808" t="s">
        <v>2013</v>
      </c>
      <c r="C63" s="805">
        <v>1358662180</v>
      </c>
      <c r="D63" s="805">
        <f>+C63*0.3</f>
        <v>407598654</v>
      </c>
      <c r="E63" s="805">
        <f>+C63-D63</f>
        <v>951063526</v>
      </c>
      <c r="F63" s="858"/>
    </row>
    <row r="64" spans="1:6" ht="42" customHeight="1" x14ac:dyDescent="0.25">
      <c r="A64" s="855"/>
      <c r="B64" s="808" t="s">
        <v>666</v>
      </c>
      <c r="C64" s="805">
        <v>729631174</v>
      </c>
      <c r="D64" s="805">
        <f>+C64*0.3</f>
        <v>218889352.19999999</v>
      </c>
      <c r="E64" s="805">
        <f>+C64-D64</f>
        <v>510741821.80000001</v>
      </c>
      <c r="F64" s="858"/>
    </row>
    <row r="65" spans="1:6" x14ac:dyDescent="0.25">
      <c r="A65" s="856"/>
      <c r="B65" s="809" t="s">
        <v>284</v>
      </c>
      <c r="C65" s="807">
        <f>SUM(C63:C64)</f>
        <v>2088293354</v>
      </c>
      <c r="D65" s="807">
        <f>+C65*0.3</f>
        <v>626488006.19999993</v>
      </c>
      <c r="E65" s="807">
        <f>+C65-D65</f>
        <v>1461805347.8000002</v>
      </c>
      <c r="F65" s="859"/>
    </row>
    <row r="66" spans="1:6" ht="84" customHeight="1" x14ac:dyDescent="0.25">
      <c r="A66" s="810"/>
      <c r="B66" s="811"/>
      <c r="C66" s="812"/>
      <c r="D66" s="812"/>
      <c r="E66" s="812"/>
      <c r="F66" s="813"/>
    </row>
    <row r="67" spans="1:6" ht="28.35" customHeight="1" x14ac:dyDescent="0.25">
      <c r="A67" s="854">
        <v>14</v>
      </c>
      <c r="B67" s="823" t="s">
        <v>2016</v>
      </c>
      <c r="C67" s="816"/>
      <c r="D67" s="822"/>
      <c r="E67" s="822"/>
      <c r="F67" s="857">
        <f>SUM(D82:E82)</f>
        <v>7601620000</v>
      </c>
    </row>
    <row r="68" spans="1:6" ht="42" customHeight="1" x14ac:dyDescent="0.25">
      <c r="A68" s="855"/>
      <c r="B68" s="808" t="s">
        <v>2017</v>
      </c>
      <c r="C68" s="818">
        <v>1200000</v>
      </c>
      <c r="D68" s="805">
        <f>+C68*0.3</f>
        <v>360000</v>
      </c>
      <c r="E68" s="805">
        <f>+C68-D68</f>
        <v>840000</v>
      </c>
      <c r="F68" s="858"/>
    </row>
    <row r="69" spans="1:6" ht="42" customHeight="1" x14ac:dyDescent="0.25">
      <c r="A69" s="855"/>
      <c r="B69" s="808" t="s">
        <v>2018</v>
      </c>
      <c r="C69" s="818">
        <v>19620000</v>
      </c>
      <c r="D69" s="805">
        <f t="shared" ref="D69:D79" si="2">+C69*0.3</f>
        <v>5886000</v>
      </c>
      <c r="E69" s="805">
        <f t="shared" ref="E69:E77" si="3">+C69-D69</f>
        <v>13734000</v>
      </c>
      <c r="F69" s="858"/>
    </row>
    <row r="70" spans="1:6" ht="42" customHeight="1" x14ac:dyDescent="0.25">
      <c r="A70" s="855"/>
      <c r="B70" s="808" t="s">
        <v>2019</v>
      </c>
      <c r="C70" s="818">
        <v>80000000</v>
      </c>
      <c r="D70" s="805">
        <f t="shared" si="2"/>
        <v>24000000</v>
      </c>
      <c r="E70" s="805">
        <f t="shared" si="3"/>
        <v>56000000</v>
      </c>
      <c r="F70" s="858"/>
    </row>
    <row r="71" spans="1:6" ht="42" customHeight="1" x14ac:dyDescent="0.25">
      <c r="A71" s="855"/>
      <c r="B71" s="808" t="s">
        <v>2020</v>
      </c>
      <c r="C71" s="818">
        <v>56000000</v>
      </c>
      <c r="D71" s="805">
        <f t="shared" si="2"/>
        <v>16800000</v>
      </c>
      <c r="E71" s="805">
        <f t="shared" si="3"/>
        <v>39200000</v>
      </c>
      <c r="F71" s="858"/>
    </row>
    <row r="72" spans="1:6" ht="42" customHeight="1" x14ac:dyDescent="0.25">
      <c r="A72" s="855"/>
      <c r="B72" s="808" t="s">
        <v>2021</v>
      </c>
      <c r="C72" s="818">
        <v>48000000</v>
      </c>
      <c r="D72" s="805">
        <f t="shared" si="2"/>
        <v>14400000</v>
      </c>
      <c r="E72" s="805">
        <f t="shared" si="3"/>
        <v>33600000</v>
      </c>
      <c r="F72" s="858"/>
    </row>
    <row r="73" spans="1:6" ht="42.75" customHeight="1" x14ac:dyDescent="0.25">
      <c r="A73" s="855"/>
      <c r="B73" s="808" t="s">
        <v>2022</v>
      </c>
      <c r="C73" s="818">
        <v>24800000</v>
      </c>
      <c r="D73" s="805">
        <f t="shared" si="2"/>
        <v>7440000</v>
      </c>
      <c r="E73" s="805">
        <f t="shared" si="3"/>
        <v>17360000</v>
      </c>
      <c r="F73" s="858"/>
    </row>
    <row r="74" spans="1:6" ht="42" customHeight="1" x14ac:dyDescent="0.25">
      <c r="A74" s="855"/>
      <c r="B74" s="808" t="s">
        <v>2023</v>
      </c>
      <c r="C74" s="818">
        <v>22000000</v>
      </c>
      <c r="D74" s="805">
        <f t="shared" si="2"/>
        <v>6600000</v>
      </c>
      <c r="E74" s="805">
        <f t="shared" si="3"/>
        <v>15400000</v>
      </c>
      <c r="F74" s="858"/>
    </row>
    <row r="75" spans="1:6" ht="42" customHeight="1" x14ac:dyDescent="0.25">
      <c r="A75" s="855"/>
      <c r="B75" s="808" t="s">
        <v>2024</v>
      </c>
      <c r="C75" s="818">
        <v>22000000</v>
      </c>
      <c r="D75" s="805">
        <f t="shared" si="2"/>
        <v>6600000</v>
      </c>
      <c r="E75" s="805">
        <f t="shared" si="3"/>
        <v>15400000</v>
      </c>
      <c r="F75" s="858"/>
    </row>
    <row r="76" spans="1:6" ht="42" customHeight="1" x14ac:dyDescent="0.25">
      <c r="A76" s="855"/>
      <c r="B76" s="808" t="s">
        <v>2025</v>
      </c>
      <c r="C76" s="818">
        <v>22000000</v>
      </c>
      <c r="D76" s="805">
        <f t="shared" si="2"/>
        <v>6600000</v>
      </c>
      <c r="E76" s="805">
        <f t="shared" si="3"/>
        <v>15400000</v>
      </c>
      <c r="F76" s="858"/>
    </row>
    <row r="77" spans="1:6" ht="42" customHeight="1" x14ac:dyDescent="0.25">
      <c r="A77" s="855"/>
      <c r="B77" s="808" t="s">
        <v>2026</v>
      </c>
      <c r="C77" s="818">
        <v>22000000</v>
      </c>
      <c r="D77" s="805">
        <f t="shared" si="2"/>
        <v>6600000</v>
      </c>
      <c r="E77" s="805">
        <f t="shared" si="3"/>
        <v>15400000</v>
      </c>
      <c r="F77" s="858"/>
    </row>
    <row r="78" spans="1:6" ht="42" customHeight="1" x14ac:dyDescent="0.25">
      <c r="A78" s="855"/>
      <c r="B78" s="808" t="s">
        <v>2027</v>
      </c>
      <c r="C78" s="818">
        <v>22000000</v>
      </c>
      <c r="D78" s="805">
        <f t="shared" si="2"/>
        <v>6600000</v>
      </c>
      <c r="E78" s="805">
        <f>+C78-D78</f>
        <v>15400000</v>
      </c>
      <c r="F78" s="858"/>
    </row>
    <row r="79" spans="1:6" ht="42" customHeight="1" x14ac:dyDescent="0.25">
      <c r="A79" s="855"/>
      <c r="B79" s="808" t="s">
        <v>2028</v>
      </c>
      <c r="C79" s="818">
        <v>22000000</v>
      </c>
      <c r="D79" s="805">
        <f t="shared" si="2"/>
        <v>6600000</v>
      </c>
      <c r="E79" s="805">
        <f>+C79-D79</f>
        <v>15400000</v>
      </c>
      <c r="F79" s="858"/>
    </row>
    <row r="80" spans="1:6" ht="42" customHeight="1" x14ac:dyDescent="0.25">
      <c r="A80" s="855"/>
      <c r="B80" s="808" t="s">
        <v>2029</v>
      </c>
      <c r="C80" s="818">
        <v>40000000</v>
      </c>
      <c r="D80" s="818">
        <f>+C80*0.3</f>
        <v>12000000</v>
      </c>
      <c r="E80" s="818">
        <f>+C80-D80</f>
        <v>28000000</v>
      </c>
      <c r="F80" s="858"/>
    </row>
    <row r="81" spans="1:6" ht="42" customHeight="1" x14ac:dyDescent="0.25">
      <c r="A81" s="855"/>
      <c r="B81" s="826" t="s">
        <v>2030</v>
      </c>
      <c r="C81" s="827">
        <v>7200000000</v>
      </c>
      <c r="D81" s="814">
        <f>+C81*0.3</f>
        <v>2160000000</v>
      </c>
      <c r="E81" s="814">
        <f>+C81-D81</f>
        <v>5040000000</v>
      </c>
      <c r="F81" s="858"/>
    </row>
    <row r="82" spans="1:6" x14ac:dyDescent="0.25">
      <c r="A82" s="856"/>
      <c r="B82" s="809" t="s">
        <v>284</v>
      </c>
      <c r="C82" s="807">
        <f>SUM(C68:C81)</f>
        <v>7601620000</v>
      </c>
      <c r="D82" s="807">
        <f>SUM(D68:D81)</f>
        <v>2280486000</v>
      </c>
      <c r="E82" s="807">
        <f>SUM(E68:E81)</f>
        <v>5321134000</v>
      </c>
      <c r="F82" s="859"/>
    </row>
    <row r="83" spans="1:6" ht="15" customHeight="1" x14ac:dyDescent="0.25">
      <c r="A83" s="860" t="s">
        <v>2031</v>
      </c>
      <c r="B83" s="861"/>
      <c r="C83" s="861"/>
      <c r="D83" s="861"/>
      <c r="E83" s="862"/>
      <c r="F83" s="800">
        <f>SUM(F5:F82)</f>
        <v>14711480644</v>
      </c>
    </row>
  </sheetData>
  <mergeCells count="34">
    <mergeCell ref="A83:E83"/>
    <mergeCell ref="F34:F36"/>
    <mergeCell ref="A34:A36"/>
    <mergeCell ref="A59:A61"/>
    <mergeCell ref="F59:F61"/>
    <mergeCell ref="A62:A65"/>
    <mergeCell ref="F62:F65"/>
    <mergeCell ref="A67:A82"/>
    <mergeCell ref="F67:F82"/>
    <mergeCell ref="A48:A51"/>
    <mergeCell ref="F48:F51"/>
    <mergeCell ref="A52:A54"/>
    <mergeCell ref="F52:F54"/>
    <mergeCell ref="A55:A58"/>
    <mergeCell ref="F55:F58"/>
    <mergeCell ref="A37:A40"/>
    <mergeCell ref="F37:F40"/>
    <mergeCell ref="A41:A43"/>
    <mergeCell ref="F41:F43"/>
    <mergeCell ref="A44:A47"/>
    <mergeCell ref="F44:F47"/>
    <mergeCell ref="A29:A32"/>
    <mergeCell ref="F29:F32"/>
    <mergeCell ref="A5:A11"/>
    <mergeCell ref="F5:F11"/>
    <mergeCell ref="A12:A17"/>
    <mergeCell ref="F12:F17"/>
    <mergeCell ref="A18:A23"/>
    <mergeCell ref="F18:F23"/>
    <mergeCell ref="A1:F1"/>
    <mergeCell ref="A2:F2"/>
    <mergeCell ref="A3:F3"/>
    <mergeCell ref="A24:A28"/>
    <mergeCell ref="F24:F28"/>
  </mergeCells>
  <pageMargins left="0.7" right="0.7" top="0.75" bottom="0.75" header="0.3" footer="0.3"/>
  <pageSetup paperSize="5"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rgb="FF00B0F0"/>
  </sheetPr>
  <dimension ref="B1:AA45"/>
  <sheetViews>
    <sheetView view="pageLayout" topLeftCell="D34" zoomScaleNormal="90" workbookViewId="0">
      <selection activeCell="C19" sqref="C19"/>
    </sheetView>
  </sheetViews>
  <sheetFormatPr baseColWidth="10" defaultRowHeight="12" x14ac:dyDescent="0.25"/>
  <cols>
    <col min="1" max="1" width="11.42578125" style="681"/>
    <col min="2" max="2" width="4.7109375" style="681" bestFit="1" customWidth="1"/>
    <col min="3" max="3" width="19.42578125" style="681" customWidth="1"/>
    <col min="4" max="4" width="5.7109375" style="681" bestFit="1" customWidth="1"/>
    <col min="5" max="5" width="7.85546875" style="681" customWidth="1"/>
    <col min="6" max="6" width="6.7109375" style="681" customWidth="1"/>
    <col min="7" max="7" width="5.28515625" style="681" customWidth="1"/>
    <col min="8" max="8" width="6.7109375" style="681" customWidth="1"/>
    <col min="9" max="9" width="5.85546875" style="681" customWidth="1"/>
    <col min="10" max="10" width="4.85546875" style="681" customWidth="1"/>
    <col min="11" max="11" width="7.140625" style="681" customWidth="1"/>
    <col min="12" max="12" width="4.85546875" style="681" customWidth="1"/>
    <col min="13" max="13" width="5" style="681" customWidth="1"/>
    <col min="14" max="14" width="6.140625" style="681" customWidth="1"/>
    <col min="15" max="15" width="4.85546875" style="681" customWidth="1"/>
    <col min="16" max="16" width="5" style="681" customWidth="1"/>
    <col min="17" max="17" width="8.7109375" style="681" customWidth="1"/>
    <col min="18" max="18" width="10.140625" style="681" customWidth="1"/>
    <col min="19" max="19" width="7" style="681" customWidth="1"/>
    <col min="20" max="20" width="8.5703125" style="681" customWidth="1"/>
    <col min="21" max="21" width="8.42578125" style="681" customWidth="1"/>
    <col min="22" max="24" width="10" style="681" customWidth="1"/>
    <col min="25" max="25" width="5.7109375" style="681" customWidth="1"/>
    <col min="26" max="26" width="8.5703125" style="681" customWidth="1"/>
    <col min="27" max="27" width="9.28515625" style="681" customWidth="1"/>
    <col min="28" max="16384" width="11.42578125" style="681"/>
  </cols>
  <sheetData>
    <row r="1" spans="2:27" x14ac:dyDescent="0.25">
      <c r="B1" s="926"/>
      <c r="C1" s="927"/>
      <c r="D1" s="927"/>
      <c r="E1" s="927"/>
      <c r="F1" s="927"/>
      <c r="G1" s="927"/>
      <c r="H1" s="927"/>
      <c r="I1" s="927"/>
      <c r="J1" s="927"/>
      <c r="K1" s="927"/>
      <c r="L1" s="927"/>
      <c r="M1" s="927"/>
      <c r="N1" s="927"/>
      <c r="O1" s="927"/>
      <c r="P1" s="927"/>
      <c r="Q1" s="927"/>
      <c r="R1" s="927"/>
      <c r="S1" s="927"/>
      <c r="T1" s="927"/>
      <c r="U1" s="927"/>
      <c r="V1" s="927"/>
      <c r="W1" s="927"/>
      <c r="X1" s="927"/>
      <c r="Y1" s="927"/>
      <c r="Z1" s="927"/>
      <c r="AA1" s="982"/>
    </row>
    <row r="2" spans="2:27" s="566" customFormat="1" x14ac:dyDescent="0.25">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row>
    <row r="3" spans="2:27" x14ac:dyDescent="0.25">
      <c r="B3" s="867" t="s">
        <v>1405</v>
      </c>
      <c r="C3" s="867"/>
      <c r="D3" s="867"/>
      <c r="E3" s="867"/>
      <c r="F3" s="867"/>
      <c r="G3" s="867"/>
      <c r="H3" s="867"/>
      <c r="I3" s="867"/>
      <c r="J3" s="867"/>
      <c r="K3" s="867"/>
      <c r="L3" s="867"/>
      <c r="M3" s="867"/>
      <c r="N3" s="867"/>
      <c r="O3" s="867"/>
      <c r="P3" s="867"/>
      <c r="Q3" s="867"/>
      <c r="R3" s="867"/>
      <c r="S3" s="867"/>
      <c r="T3" s="867"/>
      <c r="U3" s="867"/>
      <c r="V3" s="867"/>
      <c r="W3" s="867"/>
      <c r="X3" s="867"/>
      <c r="Y3" s="867"/>
      <c r="Z3" s="867"/>
      <c r="AA3" s="867"/>
    </row>
    <row r="4" spans="2:27" ht="26.25" customHeight="1" x14ac:dyDescent="0.25">
      <c r="B4" s="874" t="s">
        <v>346</v>
      </c>
      <c r="C4" s="872" t="s">
        <v>287</v>
      </c>
      <c r="D4" s="872" t="s">
        <v>1771</v>
      </c>
      <c r="E4" s="872"/>
      <c r="F4" s="872"/>
      <c r="G4" s="872" t="s">
        <v>514</v>
      </c>
      <c r="H4" s="872"/>
      <c r="I4" s="872"/>
      <c r="J4" s="872" t="s">
        <v>515</v>
      </c>
      <c r="K4" s="872"/>
      <c r="L4" s="872"/>
      <c r="M4" s="872" t="s">
        <v>516</v>
      </c>
      <c r="N4" s="872"/>
      <c r="O4" s="872"/>
      <c r="P4" s="877" t="s">
        <v>517</v>
      </c>
      <c r="Q4" s="917"/>
      <c r="R4" s="878"/>
      <c r="S4" s="872" t="s">
        <v>1772</v>
      </c>
      <c r="T4" s="872"/>
      <c r="U4" s="872"/>
      <c r="V4" s="877" t="s">
        <v>1231</v>
      </c>
      <c r="W4" s="917"/>
      <c r="X4" s="878"/>
      <c r="Y4" s="872" t="s">
        <v>518</v>
      </c>
      <c r="Z4" s="872"/>
      <c r="AA4" s="872"/>
    </row>
    <row r="5" spans="2:27" ht="32.25" customHeight="1" x14ac:dyDescent="0.25">
      <c r="B5" s="876"/>
      <c r="C5" s="872"/>
      <c r="D5" s="579" t="s">
        <v>162</v>
      </c>
      <c r="E5" s="580" t="s">
        <v>1904</v>
      </c>
      <c r="F5" s="580" t="s">
        <v>180</v>
      </c>
      <c r="G5" s="579" t="s">
        <v>162</v>
      </c>
      <c r="H5" s="580" t="s">
        <v>1904</v>
      </c>
      <c r="I5" s="580" t="s">
        <v>1905</v>
      </c>
      <c r="J5" s="579" t="s">
        <v>162</v>
      </c>
      <c r="K5" s="580" t="s">
        <v>1904</v>
      </c>
      <c r="L5" s="580" t="s">
        <v>1906</v>
      </c>
      <c r="M5" s="579" t="s">
        <v>162</v>
      </c>
      <c r="N5" s="580" t="s">
        <v>1904</v>
      </c>
      <c r="O5" s="580" t="s">
        <v>1905</v>
      </c>
      <c r="P5" s="579" t="s">
        <v>162</v>
      </c>
      <c r="Q5" s="580" t="s">
        <v>310</v>
      </c>
      <c r="R5" s="580" t="s">
        <v>180</v>
      </c>
      <c r="S5" s="579" t="s">
        <v>162</v>
      </c>
      <c r="T5" s="580" t="s">
        <v>310</v>
      </c>
      <c r="U5" s="580" t="s">
        <v>180</v>
      </c>
      <c r="V5" s="611" t="s">
        <v>162</v>
      </c>
      <c r="W5" s="611" t="s">
        <v>310</v>
      </c>
      <c r="X5" s="611" t="s">
        <v>180</v>
      </c>
      <c r="Y5" s="579" t="s">
        <v>162</v>
      </c>
      <c r="Z5" s="580" t="s">
        <v>310</v>
      </c>
      <c r="AA5" s="580" t="s">
        <v>180</v>
      </c>
    </row>
    <row r="6" spans="2:27" ht="14.1" customHeight="1" x14ac:dyDescent="0.25">
      <c r="B6" s="581">
        <v>1</v>
      </c>
      <c r="C6" s="600" t="s">
        <v>241</v>
      </c>
      <c r="D6" s="586">
        <v>0</v>
      </c>
      <c r="E6" s="345"/>
      <c r="F6" s="345">
        <f>D6*E6</f>
        <v>0</v>
      </c>
      <c r="G6" s="682">
        <v>0</v>
      </c>
      <c r="H6" s="345"/>
      <c r="I6" s="345">
        <f>G6*H6</f>
        <v>0</v>
      </c>
      <c r="J6" s="682">
        <v>0</v>
      </c>
      <c r="K6" s="345"/>
      <c r="L6" s="345">
        <f>J6*K6</f>
        <v>0</v>
      </c>
      <c r="M6" s="345">
        <v>0</v>
      </c>
      <c r="N6" s="345"/>
      <c r="O6" s="345">
        <f>M6*N6</f>
        <v>0</v>
      </c>
      <c r="P6" s="345">
        <v>1</v>
      </c>
      <c r="Q6" s="345">
        <v>2600</v>
      </c>
      <c r="R6" s="345">
        <f>P6*Q6</f>
        <v>2600</v>
      </c>
      <c r="S6" s="682">
        <v>0</v>
      </c>
      <c r="T6" s="345">
        <v>5200</v>
      </c>
      <c r="U6" s="345">
        <f>S6*T6</f>
        <v>0</v>
      </c>
      <c r="V6" s="345">
        <v>2</v>
      </c>
      <c r="W6" s="345">
        <v>365668</v>
      </c>
      <c r="X6" s="345">
        <f>V6*W6</f>
        <v>731336</v>
      </c>
      <c r="Y6" s="682">
        <v>0</v>
      </c>
      <c r="Z6" s="345">
        <v>5200</v>
      </c>
      <c r="AA6" s="345">
        <f>Y6*Z6</f>
        <v>0</v>
      </c>
    </row>
    <row r="7" spans="2:27" ht="14.1" customHeight="1" x14ac:dyDescent="0.25">
      <c r="B7" s="581">
        <v>2</v>
      </c>
      <c r="C7" s="600" t="s">
        <v>242</v>
      </c>
      <c r="D7" s="586">
        <v>0</v>
      </c>
      <c r="E7" s="345"/>
      <c r="F7" s="345">
        <f t="shared" ref="F7:F41" si="0">D7*E7</f>
        <v>0</v>
      </c>
      <c r="G7" s="682">
        <v>0</v>
      </c>
      <c r="H7" s="345"/>
      <c r="I7" s="345">
        <f t="shared" ref="I7:I41" si="1">G7*H7</f>
        <v>0</v>
      </c>
      <c r="J7" s="682">
        <v>0</v>
      </c>
      <c r="K7" s="345"/>
      <c r="L7" s="345">
        <f t="shared" ref="L7:L41" si="2">J7*K7</f>
        <v>0</v>
      </c>
      <c r="M7" s="345">
        <v>0</v>
      </c>
      <c r="N7" s="345"/>
      <c r="O7" s="345">
        <f t="shared" ref="O7:O41" si="3">M7*N7</f>
        <v>0</v>
      </c>
      <c r="P7" s="345">
        <v>1</v>
      </c>
      <c r="Q7" s="345">
        <v>2600</v>
      </c>
      <c r="R7" s="345">
        <f t="shared" ref="R7:R41" si="4">P7*Q7</f>
        <v>2600</v>
      </c>
      <c r="S7" s="682">
        <v>0</v>
      </c>
      <c r="T7" s="345">
        <v>5200</v>
      </c>
      <c r="U7" s="345">
        <f t="shared" ref="U7:U41" si="5">S7*T7</f>
        <v>0</v>
      </c>
      <c r="V7" s="345">
        <v>2</v>
      </c>
      <c r="W7" s="345">
        <v>365668</v>
      </c>
      <c r="X7" s="345">
        <f t="shared" ref="X7:X41" si="6">V7*W7</f>
        <v>731336</v>
      </c>
      <c r="Y7" s="682">
        <v>0</v>
      </c>
      <c r="Z7" s="345">
        <v>5200</v>
      </c>
      <c r="AA7" s="345">
        <f t="shared" ref="AA7:AA41" si="7">Y7*Z7</f>
        <v>0</v>
      </c>
    </row>
    <row r="8" spans="2:27" ht="14.1" customHeight="1" x14ac:dyDescent="0.25">
      <c r="B8" s="581">
        <v>3</v>
      </c>
      <c r="C8" s="600" t="s">
        <v>530</v>
      </c>
      <c r="D8" s="586">
        <v>0</v>
      </c>
      <c r="E8" s="345"/>
      <c r="F8" s="345">
        <f t="shared" ref="F8" si="8">D8*E8</f>
        <v>0</v>
      </c>
      <c r="G8" s="682">
        <v>0</v>
      </c>
      <c r="H8" s="345"/>
      <c r="I8" s="345">
        <f t="shared" ref="I8" si="9">G8*H8</f>
        <v>0</v>
      </c>
      <c r="J8" s="682">
        <v>0</v>
      </c>
      <c r="K8" s="345"/>
      <c r="L8" s="345">
        <f t="shared" ref="L8" si="10">J8*K8</f>
        <v>0</v>
      </c>
      <c r="M8" s="345">
        <v>0</v>
      </c>
      <c r="N8" s="345"/>
      <c r="O8" s="345">
        <f t="shared" ref="O8" si="11">M8*N8</f>
        <v>0</v>
      </c>
      <c r="P8" s="345">
        <v>1</v>
      </c>
      <c r="Q8" s="345">
        <v>2600</v>
      </c>
      <c r="R8" s="345">
        <f t="shared" ref="R8" si="12">P8*Q8</f>
        <v>2600</v>
      </c>
      <c r="S8" s="682">
        <v>0</v>
      </c>
      <c r="T8" s="345">
        <v>5200</v>
      </c>
      <c r="U8" s="345">
        <f t="shared" ref="U8" si="13">S8*T8</f>
        <v>0</v>
      </c>
      <c r="V8" s="345">
        <v>2</v>
      </c>
      <c r="W8" s="345">
        <v>365668</v>
      </c>
      <c r="X8" s="345">
        <f t="shared" si="6"/>
        <v>731336</v>
      </c>
      <c r="Y8" s="682">
        <v>0</v>
      </c>
      <c r="Z8" s="345">
        <v>5200</v>
      </c>
      <c r="AA8" s="345">
        <f t="shared" ref="AA8" si="14">Y8*Z8</f>
        <v>0</v>
      </c>
    </row>
    <row r="9" spans="2:27" ht="14.1" customHeight="1" x14ac:dyDescent="0.25">
      <c r="B9" s="581">
        <v>4</v>
      </c>
      <c r="C9" s="600" t="s">
        <v>244</v>
      </c>
      <c r="D9" s="586">
        <v>0</v>
      </c>
      <c r="E9" s="345"/>
      <c r="F9" s="345">
        <f t="shared" si="0"/>
        <v>0</v>
      </c>
      <c r="G9" s="682">
        <v>0</v>
      </c>
      <c r="H9" s="345"/>
      <c r="I9" s="345">
        <f t="shared" si="1"/>
        <v>0</v>
      </c>
      <c r="J9" s="682">
        <v>0</v>
      </c>
      <c r="K9" s="345"/>
      <c r="L9" s="345">
        <f t="shared" si="2"/>
        <v>0</v>
      </c>
      <c r="M9" s="345">
        <v>0</v>
      </c>
      <c r="N9" s="345"/>
      <c r="O9" s="345">
        <f t="shared" si="3"/>
        <v>0</v>
      </c>
      <c r="P9" s="345">
        <v>1</v>
      </c>
      <c r="Q9" s="345">
        <v>2600</v>
      </c>
      <c r="R9" s="345">
        <f t="shared" si="4"/>
        <v>2600</v>
      </c>
      <c r="S9" s="682">
        <v>0</v>
      </c>
      <c r="T9" s="345">
        <v>5200</v>
      </c>
      <c r="U9" s="345">
        <f t="shared" si="5"/>
        <v>0</v>
      </c>
      <c r="V9" s="345">
        <v>2</v>
      </c>
      <c r="W9" s="345">
        <v>365668</v>
      </c>
      <c r="X9" s="345">
        <f t="shared" si="6"/>
        <v>731336</v>
      </c>
      <c r="Y9" s="682">
        <v>0</v>
      </c>
      <c r="Z9" s="345">
        <v>5200</v>
      </c>
      <c r="AA9" s="345">
        <f t="shared" si="7"/>
        <v>0</v>
      </c>
    </row>
    <row r="10" spans="2:27" ht="14.1" customHeight="1" x14ac:dyDescent="0.25">
      <c r="B10" s="581">
        <v>5</v>
      </c>
      <c r="C10" s="600" t="s">
        <v>245</v>
      </c>
      <c r="D10" s="586">
        <v>0</v>
      </c>
      <c r="E10" s="345"/>
      <c r="F10" s="345">
        <f t="shared" si="0"/>
        <v>0</v>
      </c>
      <c r="G10" s="682">
        <v>0</v>
      </c>
      <c r="H10" s="345"/>
      <c r="I10" s="345">
        <f t="shared" si="1"/>
        <v>0</v>
      </c>
      <c r="J10" s="682">
        <v>0</v>
      </c>
      <c r="K10" s="345"/>
      <c r="L10" s="345">
        <f t="shared" si="2"/>
        <v>0</v>
      </c>
      <c r="M10" s="345">
        <v>0</v>
      </c>
      <c r="N10" s="345"/>
      <c r="O10" s="345">
        <f t="shared" si="3"/>
        <v>0</v>
      </c>
      <c r="P10" s="345">
        <v>1</v>
      </c>
      <c r="Q10" s="345">
        <v>2600</v>
      </c>
      <c r="R10" s="345">
        <f t="shared" si="4"/>
        <v>2600</v>
      </c>
      <c r="S10" s="682">
        <v>0</v>
      </c>
      <c r="T10" s="345">
        <v>5200</v>
      </c>
      <c r="U10" s="345">
        <f t="shared" si="5"/>
        <v>0</v>
      </c>
      <c r="V10" s="345">
        <v>2</v>
      </c>
      <c r="W10" s="345">
        <v>365668</v>
      </c>
      <c r="X10" s="345">
        <f t="shared" si="6"/>
        <v>731336</v>
      </c>
      <c r="Y10" s="682">
        <v>0</v>
      </c>
      <c r="Z10" s="345">
        <v>5200</v>
      </c>
      <c r="AA10" s="345">
        <f t="shared" si="7"/>
        <v>0</v>
      </c>
    </row>
    <row r="11" spans="2:27" ht="14.1" customHeight="1" x14ac:dyDescent="0.25">
      <c r="B11" s="581">
        <v>6</v>
      </c>
      <c r="C11" s="600" t="s">
        <v>246</v>
      </c>
      <c r="D11" s="586">
        <v>0</v>
      </c>
      <c r="E11" s="345"/>
      <c r="F11" s="345">
        <f t="shared" si="0"/>
        <v>0</v>
      </c>
      <c r="G11" s="682">
        <v>0</v>
      </c>
      <c r="H11" s="345"/>
      <c r="I11" s="345">
        <f t="shared" si="1"/>
        <v>0</v>
      </c>
      <c r="J11" s="682">
        <v>0</v>
      </c>
      <c r="K11" s="345"/>
      <c r="L11" s="345">
        <f t="shared" si="2"/>
        <v>0</v>
      </c>
      <c r="M11" s="345">
        <v>0</v>
      </c>
      <c r="N11" s="345"/>
      <c r="O11" s="345">
        <f t="shared" si="3"/>
        <v>0</v>
      </c>
      <c r="P11" s="345">
        <v>1</v>
      </c>
      <c r="Q11" s="345">
        <v>2600</v>
      </c>
      <c r="R11" s="345">
        <f t="shared" si="4"/>
        <v>2600</v>
      </c>
      <c r="S11" s="682">
        <v>0</v>
      </c>
      <c r="T11" s="345">
        <v>5200</v>
      </c>
      <c r="U11" s="345">
        <f t="shared" si="5"/>
        <v>0</v>
      </c>
      <c r="V11" s="345">
        <v>2</v>
      </c>
      <c r="W11" s="345">
        <v>365668</v>
      </c>
      <c r="X11" s="345">
        <f t="shared" si="6"/>
        <v>731336</v>
      </c>
      <c r="Y11" s="682">
        <v>0</v>
      </c>
      <c r="Z11" s="345">
        <v>5200</v>
      </c>
      <c r="AA11" s="345">
        <f t="shared" si="7"/>
        <v>0</v>
      </c>
    </row>
    <row r="12" spans="2:27" ht="14.1" customHeight="1" x14ac:dyDescent="0.25">
      <c r="B12" s="581">
        <v>7</v>
      </c>
      <c r="C12" s="193" t="s">
        <v>247</v>
      </c>
      <c r="D12" s="586">
        <v>0</v>
      </c>
      <c r="E12" s="345"/>
      <c r="F12" s="345">
        <f t="shared" si="0"/>
        <v>0</v>
      </c>
      <c r="G12" s="682">
        <v>0</v>
      </c>
      <c r="H12" s="345"/>
      <c r="I12" s="345">
        <f t="shared" si="1"/>
        <v>0</v>
      </c>
      <c r="J12" s="682">
        <v>0</v>
      </c>
      <c r="K12" s="345"/>
      <c r="L12" s="345">
        <f t="shared" si="2"/>
        <v>0</v>
      </c>
      <c r="M12" s="345">
        <v>0</v>
      </c>
      <c r="N12" s="345"/>
      <c r="O12" s="345">
        <f t="shared" si="3"/>
        <v>0</v>
      </c>
      <c r="P12" s="345">
        <v>1</v>
      </c>
      <c r="Q12" s="345">
        <v>2600</v>
      </c>
      <c r="R12" s="345">
        <f t="shared" si="4"/>
        <v>2600</v>
      </c>
      <c r="S12" s="682">
        <v>0</v>
      </c>
      <c r="T12" s="345">
        <v>5200</v>
      </c>
      <c r="U12" s="345">
        <f t="shared" si="5"/>
        <v>0</v>
      </c>
      <c r="V12" s="345">
        <v>2</v>
      </c>
      <c r="W12" s="345">
        <v>365668</v>
      </c>
      <c r="X12" s="345">
        <f t="shared" si="6"/>
        <v>731336</v>
      </c>
      <c r="Y12" s="682">
        <v>0</v>
      </c>
      <c r="Z12" s="345">
        <v>5200</v>
      </c>
      <c r="AA12" s="345">
        <f t="shared" si="7"/>
        <v>0</v>
      </c>
    </row>
    <row r="13" spans="2:27" ht="14.1" customHeight="1" x14ac:dyDescent="0.25">
      <c r="B13" s="581">
        <v>8</v>
      </c>
      <c r="C13" s="600" t="s">
        <v>248</v>
      </c>
      <c r="D13" s="586">
        <v>0</v>
      </c>
      <c r="E13" s="345"/>
      <c r="F13" s="345">
        <f t="shared" si="0"/>
        <v>0</v>
      </c>
      <c r="G13" s="682">
        <v>0</v>
      </c>
      <c r="H13" s="345"/>
      <c r="I13" s="345">
        <f t="shared" si="1"/>
        <v>0</v>
      </c>
      <c r="J13" s="682">
        <v>0</v>
      </c>
      <c r="K13" s="345"/>
      <c r="L13" s="345">
        <f t="shared" si="2"/>
        <v>0</v>
      </c>
      <c r="M13" s="345">
        <v>0</v>
      </c>
      <c r="N13" s="345"/>
      <c r="O13" s="345">
        <f t="shared" si="3"/>
        <v>0</v>
      </c>
      <c r="P13" s="345">
        <v>1</v>
      </c>
      <c r="Q13" s="345">
        <v>2600</v>
      </c>
      <c r="R13" s="345">
        <f t="shared" si="4"/>
        <v>2600</v>
      </c>
      <c r="S13" s="682">
        <v>0</v>
      </c>
      <c r="T13" s="345">
        <v>5200</v>
      </c>
      <c r="U13" s="345">
        <f t="shared" si="5"/>
        <v>0</v>
      </c>
      <c r="V13" s="345">
        <v>2</v>
      </c>
      <c r="W13" s="345">
        <v>365668</v>
      </c>
      <c r="X13" s="345">
        <f t="shared" si="6"/>
        <v>731336</v>
      </c>
      <c r="Y13" s="682">
        <v>0</v>
      </c>
      <c r="Z13" s="345">
        <v>5200</v>
      </c>
      <c r="AA13" s="345">
        <f t="shared" si="7"/>
        <v>0</v>
      </c>
    </row>
    <row r="14" spans="2:27" ht="14.1" customHeight="1" x14ac:dyDescent="0.25">
      <c r="B14" s="581">
        <v>9</v>
      </c>
      <c r="C14" s="600" t="s">
        <v>250</v>
      </c>
      <c r="D14" s="586">
        <v>0</v>
      </c>
      <c r="E14" s="345"/>
      <c r="F14" s="345">
        <f t="shared" si="0"/>
        <v>0</v>
      </c>
      <c r="G14" s="682">
        <v>0</v>
      </c>
      <c r="H14" s="345"/>
      <c r="I14" s="345">
        <f t="shared" si="1"/>
        <v>0</v>
      </c>
      <c r="J14" s="682">
        <v>0</v>
      </c>
      <c r="K14" s="345"/>
      <c r="L14" s="345">
        <f t="shared" si="2"/>
        <v>0</v>
      </c>
      <c r="M14" s="345">
        <v>0</v>
      </c>
      <c r="N14" s="345"/>
      <c r="O14" s="345">
        <f t="shared" si="3"/>
        <v>0</v>
      </c>
      <c r="P14" s="345">
        <v>1</v>
      </c>
      <c r="Q14" s="345">
        <v>2600</v>
      </c>
      <c r="R14" s="345">
        <f t="shared" si="4"/>
        <v>2600</v>
      </c>
      <c r="S14" s="682">
        <v>0</v>
      </c>
      <c r="T14" s="345">
        <v>5200</v>
      </c>
      <c r="U14" s="345">
        <f t="shared" si="5"/>
        <v>0</v>
      </c>
      <c r="V14" s="345">
        <v>2</v>
      </c>
      <c r="W14" s="345">
        <v>365668</v>
      </c>
      <c r="X14" s="345">
        <f t="shared" si="6"/>
        <v>731336</v>
      </c>
      <c r="Y14" s="682">
        <v>0</v>
      </c>
      <c r="Z14" s="345">
        <v>5200</v>
      </c>
      <c r="AA14" s="345">
        <f t="shared" si="7"/>
        <v>0</v>
      </c>
    </row>
    <row r="15" spans="2:27" ht="14.1" customHeight="1" x14ac:dyDescent="0.25">
      <c r="B15" s="581">
        <v>10</v>
      </c>
      <c r="C15" s="600" t="s">
        <v>251</v>
      </c>
      <c r="D15" s="586">
        <v>0</v>
      </c>
      <c r="E15" s="345"/>
      <c r="F15" s="345">
        <f t="shared" si="0"/>
        <v>0</v>
      </c>
      <c r="G15" s="682">
        <v>0</v>
      </c>
      <c r="H15" s="345"/>
      <c r="I15" s="345">
        <f t="shared" si="1"/>
        <v>0</v>
      </c>
      <c r="J15" s="682">
        <v>0</v>
      </c>
      <c r="K15" s="345"/>
      <c r="L15" s="345">
        <f t="shared" si="2"/>
        <v>0</v>
      </c>
      <c r="M15" s="345">
        <v>0</v>
      </c>
      <c r="N15" s="345"/>
      <c r="O15" s="345">
        <f t="shared" si="3"/>
        <v>0</v>
      </c>
      <c r="P15" s="345">
        <v>1</v>
      </c>
      <c r="Q15" s="345">
        <v>2600</v>
      </c>
      <c r="R15" s="345">
        <f t="shared" si="4"/>
        <v>2600</v>
      </c>
      <c r="S15" s="682">
        <v>0</v>
      </c>
      <c r="T15" s="345">
        <v>5200</v>
      </c>
      <c r="U15" s="345">
        <f t="shared" si="5"/>
        <v>0</v>
      </c>
      <c r="V15" s="345">
        <v>2</v>
      </c>
      <c r="W15" s="345">
        <v>365668</v>
      </c>
      <c r="X15" s="345">
        <f t="shared" si="6"/>
        <v>731336</v>
      </c>
      <c r="Y15" s="682">
        <v>0</v>
      </c>
      <c r="Z15" s="345">
        <v>5200</v>
      </c>
      <c r="AA15" s="345">
        <f t="shared" si="7"/>
        <v>0</v>
      </c>
    </row>
    <row r="16" spans="2:27" ht="14.1" customHeight="1" x14ac:dyDescent="0.25">
      <c r="B16" s="581">
        <v>11</v>
      </c>
      <c r="C16" s="600" t="s">
        <v>252</v>
      </c>
      <c r="D16" s="586">
        <v>0</v>
      </c>
      <c r="E16" s="345"/>
      <c r="F16" s="345">
        <f t="shared" si="0"/>
        <v>0</v>
      </c>
      <c r="G16" s="682">
        <v>0</v>
      </c>
      <c r="H16" s="345"/>
      <c r="I16" s="345">
        <f t="shared" si="1"/>
        <v>0</v>
      </c>
      <c r="J16" s="682">
        <v>0</v>
      </c>
      <c r="K16" s="345"/>
      <c r="L16" s="345">
        <f t="shared" si="2"/>
        <v>0</v>
      </c>
      <c r="M16" s="345">
        <v>0</v>
      </c>
      <c r="N16" s="345"/>
      <c r="O16" s="345">
        <f t="shared" si="3"/>
        <v>0</v>
      </c>
      <c r="P16" s="345">
        <v>1</v>
      </c>
      <c r="Q16" s="345">
        <v>2600</v>
      </c>
      <c r="R16" s="345">
        <f t="shared" si="4"/>
        <v>2600</v>
      </c>
      <c r="S16" s="682">
        <v>0</v>
      </c>
      <c r="T16" s="345">
        <v>5200</v>
      </c>
      <c r="U16" s="345">
        <f t="shared" si="5"/>
        <v>0</v>
      </c>
      <c r="V16" s="345">
        <v>2</v>
      </c>
      <c r="W16" s="345">
        <v>365668</v>
      </c>
      <c r="X16" s="345">
        <f t="shared" si="6"/>
        <v>731336</v>
      </c>
      <c r="Y16" s="682">
        <v>0</v>
      </c>
      <c r="Z16" s="345">
        <v>5200</v>
      </c>
      <c r="AA16" s="345">
        <f t="shared" si="7"/>
        <v>0</v>
      </c>
    </row>
    <row r="17" spans="2:27" ht="14.1" customHeight="1" x14ac:dyDescent="0.25">
      <c r="B17" s="581">
        <v>12</v>
      </c>
      <c r="C17" s="600" t="s">
        <v>253</v>
      </c>
      <c r="D17" s="586">
        <v>0</v>
      </c>
      <c r="E17" s="345"/>
      <c r="F17" s="345">
        <f t="shared" si="0"/>
        <v>0</v>
      </c>
      <c r="G17" s="682">
        <v>0</v>
      </c>
      <c r="H17" s="345"/>
      <c r="I17" s="345">
        <f t="shared" si="1"/>
        <v>0</v>
      </c>
      <c r="J17" s="682">
        <v>0</v>
      </c>
      <c r="K17" s="345"/>
      <c r="L17" s="345">
        <f t="shared" si="2"/>
        <v>0</v>
      </c>
      <c r="M17" s="345">
        <v>0</v>
      </c>
      <c r="N17" s="345"/>
      <c r="O17" s="345">
        <f t="shared" si="3"/>
        <v>0</v>
      </c>
      <c r="P17" s="345">
        <v>1</v>
      </c>
      <c r="Q17" s="345">
        <v>2600</v>
      </c>
      <c r="R17" s="345">
        <f t="shared" si="4"/>
        <v>2600</v>
      </c>
      <c r="S17" s="682">
        <v>0</v>
      </c>
      <c r="T17" s="345">
        <v>5200</v>
      </c>
      <c r="U17" s="345">
        <f t="shared" si="5"/>
        <v>0</v>
      </c>
      <c r="V17" s="345">
        <v>2</v>
      </c>
      <c r="W17" s="345">
        <v>365668</v>
      </c>
      <c r="X17" s="345">
        <f t="shared" si="6"/>
        <v>731336</v>
      </c>
      <c r="Y17" s="682">
        <v>0</v>
      </c>
      <c r="Z17" s="345">
        <v>5200</v>
      </c>
      <c r="AA17" s="345">
        <f t="shared" si="7"/>
        <v>0</v>
      </c>
    </row>
    <row r="18" spans="2:27" ht="14.1" customHeight="1" x14ac:dyDescent="0.25">
      <c r="B18" s="581">
        <v>13</v>
      </c>
      <c r="C18" s="193" t="s">
        <v>254</v>
      </c>
      <c r="D18" s="586">
        <v>0</v>
      </c>
      <c r="E18" s="345"/>
      <c r="F18" s="345">
        <f t="shared" si="0"/>
        <v>0</v>
      </c>
      <c r="G18" s="682">
        <v>0</v>
      </c>
      <c r="H18" s="345"/>
      <c r="I18" s="345">
        <f t="shared" si="1"/>
        <v>0</v>
      </c>
      <c r="J18" s="682">
        <v>0</v>
      </c>
      <c r="K18" s="345"/>
      <c r="L18" s="345">
        <f t="shared" si="2"/>
        <v>0</v>
      </c>
      <c r="M18" s="345">
        <v>0</v>
      </c>
      <c r="N18" s="345"/>
      <c r="O18" s="345">
        <f t="shared" si="3"/>
        <v>0</v>
      </c>
      <c r="P18" s="345">
        <v>1</v>
      </c>
      <c r="Q18" s="345">
        <v>2600</v>
      </c>
      <c r="R18" s="345">
        <f t="shared" si="4"/>
        <v>2600</v>
      </c>
      <c r="S18" s="682">
        <v>0</v>
      </c>
      <c r="T18" s="345">
        <v>5200</v>
      </c>
      <c r="U18" s="345">
        <f t="shared" si="5"/>
        <v>0</v>
      </c>
      <c r="V18" s="345">
        <v>2</v>
      </c>
      <c r="W18" s="345">
        <v>365668</v>
      </c>
      <c r="X18" s="345">
        <f t="shared" si="6"/>
        <v>731336</v>
      </c>
      <c r="Y18" s="682">
        <v>0</v>
      </c>
      <c r="Z18" s="345">
        <v>5200</v>
      </c>
      <c r="AA18" s="345">
        <f t="shared" si="7"/>
        <v>0</v>
      </c>
    </row>
    <row r="19" spans="2:27" ht="14.1" customHeight="1" x14ac:dyDescent="0.25">
      <c r="B19" s="581">
        <v>14</v>
      </c>
      <c r="C19" s="600" t="s">
        <v>255</v>
      </c>
      <c r="D19" s="586">
        <v>0</v>
      </c>
      <c r="E19" s="345"/>
      <c r="F19" s="345">
        <f t="shared" si="0"/>
        <v>0</v>
      </c>
      <c r="G19" s="682">
        <v>0</v>
      </c>
      <c r="H19" s="345"/>
      <c r="I19" s="345">
        <f t="shared" si="1"/>
        <v>0</v>
      </c>
      <c r="J19" s="682">
        <v>0</v>
      </c>
      <c r="K19" s="345"/>
      <c r="L19" s="345">
        <f t="shared" si="2"/>
        <v>0</v>
      </c>
      <c r="M19" s="345">
        <v>0</v>
      </c>
      <c r="N19" s="345"/>
      <c r="O19" s="345">
        <f t="shared" si="3"/>
        <v>0</v>
      </c>
      <c r="P19" s="345">
        <v>1</v>
      </c>
      <c r="Q19" s="345">
        <v>2600</v>
      </c>
      <c r="R19" s="345">
        <f t="shared" si="4"/>
        <v>2600</v>
      </c>
      <c r="S19" s="682">
        <v>0</v>
      </c>
      <c r="T19" s="345">
        <v>5200</v>
      </c>
      <c r="U19" s="345">
        <f t="shared" si="5"/>
        <v>0</v>
      </c>
      <c r="V19" s="345">
        <v>2</v>
      </c>
      <c r="W19" s="345">
        <v>365668</v>
      </c>
      <c r="X19" s="345">
        <f t="shared" si="6"/>
        <v>731336</v>
      </c>
      <c r="Y19" s="682">
        <v>0</v>
      </c>
      <c r="Z19" s="345">
        <v>5200</v>
      </c>
      <c r="AA19" s="345">
        <f t="shared" si="7"/>
        <v>0</v>
      </c>
    </row>
    <row r="20" spans="2:27" ht="14.1" customHeight="1" x14ac:dyDescent="0.25">
      <c r="B20" s="581">
        <v>15</v>
      </c>
      <c r="C20" s="600" t="s">
        <v>256</v>
      </c>
      <c r="D20" s="586">
        <v>0</v>
      </c>
      <c r="E20" s="345"/>
      <c r="F20" s="345">
        <f t="shared" si="0"/>
        <v>0</v>
      </c>
      <c r="G20" s="682">
        <v>0</v>
      </c>
      <c r="H20" s="345"/>
      <c r="I20" s="345">
        <f t="shared" si="1"/>
        <v>0</v>
      </c>
      <c r="J20" s="682">
        <v>0</v>
      </c>
      <c r="K20" s="345"/>
      <c r="L20" s="345">
        <f t="shared" si="2"/>
        <v>0</v>
      </c>
      <c r="M20" s="345">
        <v>0</v>
      </c>
      <c r="N20" s="345"/>
      <c r="O20" s="345">
        <f t="shared" si="3"/>
        <v>0</v>
      </c>
      <c r="P20" s="345">
        <v>1</v>
      </c>
      <c r="Q20" s="345">
        <v>2600</v>
      </c>
      <c r="R20" s="345">
        <f t="shared" si="4"/>
        <v>2600</v>
      </c>
      <c r="S20" s="682">
        <v>0</v>
      </c>
      <c r="T20" s="345">
        <v>5200</v>
      </c>
      <c r="U20" s="345">
        <f t="shared" si="5"/>
        <v>0</v>
      </c>
      <c r="V20" s="345">
        <v>2</v>
      </c>
      <c r="W20" s="345">
        <v>365668</v>
      </c>
      <c r="X20" s="345">
        <f t="shared" si="6"/>
        <v>731336</v>
      </c>
      <c r="Y20" s="682">
        <v>0</v>
      </c>
      <c r="Z20" s="345">
        <v>5200</v>
      </c>
      <c r="AA20" s="345">
        <f t="shared" si="7"/>
        <v>0</v>
      </c>
    </row>
    <row r="21" spans="2:27" ht="14.1" customHeight="1" x14ac:dyDescent="0.25">
      <c r="B21" s="581">
        <v>16</v>
      </c>
      <c r="C21" s="600" t="s">
        <v>257</v>
      </c>
      <c r="D21" s="586">
        <v>0</v>
      </c>
      <c r="E21" s="345"/>
      <c r="F21" s="345">
        <f t="shared" si="0"/>
        <v>0</v>
      </c>
      <c r="G21" s="682">
        <v>0</v>
      </c>
      <c r="H21" s="345"/>
      <c r="I21" s="345">
        <f t="shared" si="1"/>
        <v>0</v>
      </c>
      <c r="J21" s="682">
        <v>0</v>
      </c>
      <c r="K21" s="345"/>
      <c r="L21" s="345">
        <f t="shared" si="2"/>
        <v>0</v>
      </c>
      <c r="M21" s="345">
        <v>0</v>
      </c>
      <c r="N21" s="345"/>
      <c r="O21" s="345">
        <f t="shared" si="3"/>
        <v>0</v>
      </c>
      <c r="P21" s="345">
        <v>1</v>
      </c>
      <c r="Q21" s="345">
        <v>2600</v>
      </c>
      <c r="R21" s="345">
        <f t="shared" si="4"/>
        <v>2600</v>
      </c>
      <c r="S21" s="682">
        <v>0</v>
      </c>
      <c r="T21" s="345">
        <v>5200</v>
      </c>
      <c r="U21" s="345">
        <f t="shared" si="5"/>
        <v>0</v>
      </c>
      <c r="V21" s="345">
        <v>2</v>
      </c>
      <c r="W21" s="345">
        <v>365668</v>
      </c>
      <c r="X21" s="345">
        <f t="shared" si="6"/>
        <v>731336</v>
      </c>
      <c r="Y21" s="682">
        <v>0</v>
      </c>
      <c r="Z21" s="345">
        <v>5200</v>
      </c>
      <c r="AA21" s="345">
        <f t="shared" si="7"/>
        <v>0</v>
      </c>
    </row>
    <row r="22" spans="2:27" ht="14.1" customHeight="1" x14ac:dyDescent="0.25">
      <c r="B22" s="581">
        <v>17</v>
      </c>
      <c r="C22" s="600" t="s">
        <v>258</v>
      </c>
      <c r="D22" s="586">
        <v>0</v>
      </c>
      <c r="E22" s="345"/>
      <c r="F22" s="345">
        <f t="shared" si="0"/>
        <v>0</v>
      </c>
      <c r="G22" s="682">
        <v>0</v>
      </c>
      <c r="H22" s="345"/>
      <c r="I22" s="345">
        <f t="shared" si="1"/>
        <v>0</v>
      </c>
      <c r="J22" s="682">
        <v>0</v>
      </c>
      <c r="K22" s="345"/>
      <c r="L22" s="345">
        <f t="shared" si="2"/>
        <v>0</v>
      </c>
      <c r="M22" s="345">
        <v>0</v>
      </c>
      <c r="N22" s="345"/>
      <c r="O22" s="345">
        <f t="shared" si="3"/>
        <v>0</v>
      </c>
      <c r="P22" s="345">
        <v>1</v>
      </c>
      <c r="Q22" s="345">
        <v>2600</v>
      </c>
      <c r="R22" s="345">
        <f t="shared" si="4"/>
        <v>2600</v>
      </c>
      <c r="S22" s="682">
        <v>0</v>
      </c>
      <c r="T22" s="345">
        <v>5200</v>
      </c>
      <c r="U22" s="345">
        <f t="shared" si="5"/>
        <v>0</v>
      </c>
      <c r="V22" s="345">
        <v>2</v>
      </c>
      <c r="W22" s="345">
        <v>365668</v>
      </c>
      <c r="X22" s="345">
        <f t="shared" si="6"/>
        <v>731336</v>
      </c>
      <c r="Y22" s="682">
        <v>0</v>
      </c>
      <c r="Z22" s="345">
        <v>5200</v>
      </c>
      <c r="AA22" s="345">
        <f t="shared" si="7"/>
        <v>0</v>
      </c>
    </row>
    <row r="23" spans="2:27" ht="14.1" customHeight="1" x14ac:dyDescent="0.25">
      <c r="B23" s="581">
        <v>18</v>
      </c>
      <c r="C23" s="600" t="s">
        <v>259</v>
      </c>
      <c r="D23" s="586">
        <v>0</v>
      </c>
      <c r="E23" s="345"/>
      <c r="F23" s="345">
        <f t="shared" si="0"/>
        <v>0</v>
      </c>
      <c r="G23" s="682">
        <v>0</v>
      </c>
      <c r="H23" s="345"/>
      <c r="I23" s="345">
        <f t="shared" si="1"/>
        <v>0</v>
      </c>
      <c r="J23" s="682">
        <v>0</v>
      </c>
      <c r="K23" s="345"/>
      <c r="L23" s="345">
        <f t="shared" si="2"/>
        <v>0</v>
      </c>
      <c r="M23" s="345">
        <v>0</v>
      </c>
      <c r="N23" s="345"/>
      <c r="O23" s="345">
        <f t="shared" si="3"/>
        <v>0</v>
      </c>
      <c r="P23" s="345">
        <v>1</v>
      </c>
      <c r="Q23" s="345">
        <v>2600</v>
      </c>
      <c r="R23" s="345">
        <f t="shared" si="4"/>
        <v>2600</v>
      </c>
      <c r="S23" s="682">
        <v>0</v>
      </c>
      <c r="T23" s="345">
        <v>5200</v>
      </c>
      <c r="U23" s="345">
        <f t="shared" si="5"/>
        <v>0</v>
      </c>
      <c r="V23" s="345">
        <v>2</v>
      </c>
      <c r="W23" s="345">
        <v>365668</v>
      </c>
      <c r="X23" s="345">
        <f t="shared" si="6"/>
        <v>731336</v>
      </c>
      <c r="Y23" s="682">
        <v>0</v>
      </c>
      <c r="Z23" s="345">
        <v>5200</v>
      </c>
      <c r="AA23" s="345">
        <f t="shared" si="7"/>
        <v>0</v>
      </c>
    </row>
    <row r="24" spans="2:27" ht="14.1" customHeight="1" x14ac:dyDescent="0.25">
      <c r="B24" s="581">
        <v>19</v>
      </c>
      <c r="C24" s="600" t="s">
        <v>260</v>
      </c>
      <c r="D24" s="586">
        <v>0</v>
      </c>
      <c r="E24" s="345"/>
      <c r="F24" s="345">
        <f t="shared" si="0"/>
        <v>0</v>
      </c>
      <c r="G24" s="682">
        <v>0</v>
      </c>
      <c r="H24" s="345"/>
      <c r="I24" s="345">
        <f t="shared" si="1"/>
        <v>0</v>
      </c>
      <c r="J24" s="682">
        <v>0</v>
      </c>
      <c r="K24" s="345"/>
      <c r="L24" s="345">
        <f t="shared" si="2"/>
        <v>0</v>
      </c>
      <c r="M24" s="345">
        <v>0</v>
      </c>
      <c r="N24" s="345"/>
      <c r="O24" s="345">
        <f t="shared" si="3"/>
        <v>0</v>
      </c>
      <c r="P24" s="345">
        <v>1</v>
      </c>
      <c r="Q24" s="345">
        <v>2600</v>
      </c>
      <c r="R24" s="345">
        <f t="shared" si="4"/>
        <v>2600</v>
      </c>
      <c r="S24" s="682">
        <v>0</v>
      </c>
      <c r="T24" s="345">
        <v>5200</v>
      </c>
      <c r="U24" s="345">
        <f t="shared" si="5"/>
        <v>0</v>
      </c>
      <c r="V24" s="345">
        <v>2</v>
      </c>
      <c r="W24" s="345">
        <v>365668</v>
      </c>
      <c r="X24" s="345">
        <f t="shared" si="6"/>
        <v>731336</v>
      </c>
      <c r="Y24" s="682">
        <v>0</v>
      </c>
      <c r="Z24" s="345">
        <v>5200</v>
      </c>
      <c r="AA24" s="345">
        <f t="shared" si="7"/>
        <v>0</v>
      </c>
    </row>
    <row r="25" spans="2:27" ht="14.1" customHeight="1" x14ac:dyDescent="0.25">
      <c r="B25" s="581">
        <v>20</v>
      </c>
      <c r="C25" s="600" t="s">
        <v>261</v>
      </c>
      <c r="D25" s="586">
        <v>0</v>
      </c>
      <c r="E25" s="345"/>
      <c r="F25" s="345">
        <f t="shared" si="0"/>
        <v>0</v>
      </c>
      <c r="G25" s="682">
        <v>0</v>
      </c>
      <c r="H25" s="345"/>
      <c r="I25" s="345">
        <f t="shared" si="1"/>
        <v>0</v>
      </c>
      <c r="J25" s="682">
        <v>0</v>
      </c>
      <c r="K25" s="345"/>
      <c r="L25" s="345">
        <f t="shared" si="2"/>
        <v>0</v>
      </c>
      <c r="M25" s="345">
        <v>0</v>
      </c>
      <c r="N25" s="345"/>
      <c r="O25" s="345">
        <f t="shared" si="3"/>
        <v>0</v>
      </c>
      <c r="P25" s="345">
        <v>1</v>
      </c>
      <c r="Q25" s="345">
        <v>2600</v>
      </c>
      <c r="R25" s="345">
        <f t="shared" si="4"/>
        <v>2600</v>
      </c>
      <c r="S25" s="682">
        <v>0</v>
      </c>
      <c r="T25" s="345">
        <v>5200</v>
      </c>
      <c r="U25" s="345">
        <f t="shared" si="5"/>
        <v>0</v>
      </c>
      <c r="V25" s="345">
        <v>2</v>
      </c>
      <c r="W25" s="345">
        <v>365668</v>
      </c>
      <c r="X25" s="345">
        <f t="shared" si="6"/>
        <v>731336</v>
      </c>
      <c r="Y25" s="682">
        <v>0</v>
      </c>
      <c r="Z25" s="345">
        <v>5200</v>
      </c>
      <c r="AA25" s="345">
        <f t="shared" si="7"/>
        <v>0</v>
      </c>
    </row>
    <row r="26" spans="2:27" ht="14.1" customHeight="1" x14ac:dyDescent="0.25">
      <c r="B26" s="581">
        <v>21</v>
      </c>
      <c r="C26" s="600" t="s">
        <v>262</v>
      </c>
      <c r="D26" s="586">
        <v>0</v>
      </c>
      <c r="E26" s="345"/>
      <c r="F26" s="345">
        <f t="shared" si="0"/>
        <v>0</v>
      </c>
      <c r="G26" s="682">
        <v>0</v>
      </c>
      <c r="H26" s="345"/>
      <c r="I26" s="345">
        <f t="shared" si="1"/>
        <v>0</v>
      </c>
      <c r="J26" s="682">
        <v>0</v>
      </c>
      <c r="K26" s="345"/>
      <c r="L26" s="345">
        <f t="shared" si="2"/>
        <v>0</v>
      </c>
      <c r="M26" s="345">
        <v>0</v>
      </c>
      <c r="N26" s="345"/>
      <c r="O26" s="345">
        <f t="shared" si="3"/>
        <v>0</v>
      </c>
      <c r="P26" s="345">
        <v>1</v>
      </c>
      <c r="Q26" s="345">
        <v>2600</v>
      </c>
      <c r="R26" s="345">
        <f t="shared" si="4"/>
        <v>2600</v>
      </c>
      <c r="S26" s="682">
        <v>0</v>
      </c>
      <c r="T26" s="345">
        <v>5200</v>
      </c>
      <c r="U26" s="345">
        <f t="shared" si="5"/>
        <v>0</v>
      </c>
      <c r="V26" s="345">
        <v>2</v>
      </c>
      <c r="W26" s="345">
        <v>365668</v>
      </c>
      <c r="X26" s="345">
        <f t="shared" si="6"/>
        <v>731336</v>
      </c>
      <c r="Y26" s="682">
        <v>0</v>
      </c>
      <c r="Z26" s="345">
        <v>5200</v>
      </c>
      <c r="AA26" s="345">
        <f t="shared" si="7"/>
        <v>0</v>
      </c>
    </row>
    <row r="27" spans="2:27" ht="14.1" customHeight="1" x14ac:dyDescent="0.25">
      <c r="B27" s="581">
        <v>22</v>
      </c>
      <c r="C27" s="600" t="s">
        <v>263</v>
      </c>
      <c r="D27" s="586">
        <v>0</v>
      </c>
      <c r="E27" s="345"/>
      <c r="F27" s="345">
        <f t="shared" si="0"/>
        <v>0</v>
      </c>
      <c r="G27" s="682">
        <v>0</v>
      </c>
      <c r="H27" s="345"/>
      <c r="I27" s="345">
        <f t="shared" si="1"/>
        <v>0</v>
      </c>
      <c r="J27" s="682">
        <v>0</v>
      </c>
      <c r="K27" s="345"/>
      <c r="L27" s="345">
        <f t="shared" si="2"/>
        <v>0</v>
      </c>
      <c r="M27" s="345">
        <v>0</v>
      </c>
      <c r="N27" s="345"/>
      <c r="O27" s="345">
        <f t="shared" si="3"/>
        <v>0</v>
      </c>
      <c r="P27" s="345">
        <v>1</v>
      </c>
      <c r="Q27" s="345">
        <v>2600</v>
      </c>
      <c r="R27" s="345">
        <f t="shared" si="4"/>
        <v>2600</v>
      </c>
      <c r="S27" s="682">
        <v>0</v>
      </c>
      <c r="T27" s="345">
        <v>5200</v>
      </c>
      <c r="U27" s="345">
        <f t="shared" si="5"/>
        <v>0</v>
      </c>
      <c r="V27" s="345">
        <v>2</v>
      </c>
      <c r="W27" s="345">
        <v>365668</v>
      </c>
      <c r="X27" s="345">
        <f t="shared" si="6"/>
        <v>731336</v>
      </c>
      <c r="Y27" s="682">
        <v>0</v>
      </c>
      <c r="Z27" s="345">
        <v>5200</v>
      </c>
      <c r="AA27" s="345">
        <f t="shared" si="7"/>
        <v>0</v>
      </c>
    </row>
    <row r="28" spans="2:27" ht="14.1" customHeight="1" x14ac:dyDescent="0.25">
      <c r="B28" s="581">
        <v>23</v>
      </c>
      <c r="C28" s="600" t="s">
        <v>264</v>
      </c>
      <c r="D28" s="586">
        <v>0</v>
      </c>
      <c r="E28" s="345"/>
      <c r="F28" s="345">
        <f t="shared" si="0"/>
        <v>0</v>
      </c>
      <c r="G28" s="682">
        <v>0</v>
      </c>
      <c r="H28" s="345"/>
      <c r="I28" s="345">
        <f t="shared" si="1"/>
        <v>0</v>
      </c>
      <c r="J28" s="682">
        <v>0</v>
      </c>
      <c r="K28" s="345"/>
      <c r="L28" s="345">
        <f t="shared" si="2"/>
        <v>0</v>
      </c>
      <c r="M28" s="345">
        <v>0</v>
      </c>
      <c r="N28" s="345"/>
      <c r="O28" s="345">
        <f t="shared" si="3"/>
        <v>0</v>
      </c>
      <c r="P28" s="345">
        <v>1</v>
      </c>
      <c r="Q28" s="345">
        <v>2600</v>
      </c>
      <c r="R28" s="345">
        <f t="shared" si="4"/>
        <v>2600</v>
      </c>
      <c r="S28" s="682">
        <v>0</v>
      </c>
      <c r="T28" s="345">
        <v>5200</v>
      </c>
      <c r="U28" s="345">
        <f t="shared" si="5"/>
        <v>0</v>
      </c>
      <c r="V28" s="345">
        <v>2</v>
      </c>
      <c r="W28" s="345">
        <v>365668</v>
      </c>
      <c r="X28" s="345">
        <f t="shared" si="6"/>
        <v>731336</v>
      </c>
      <c r="Y28" s="682">
        <v>0</v>
      </c>
      <c r="Z28" s="345">
        <v>5200</v>
      </c>
      <c r="AA28" s="345">
        <f t="shared" si="7"/>
        <v>0</v>
      </c>
    </row>
    <row r="29" spans="2:27" ht="14.1" customHeight="1" x14ac:dyDescent="0.25">
      <c r="B29" s="581">
        <v>24</v>
      </c>
      <c r="C29" s="600" t="s">
        <v>266</v>
      </c>
      <c r="D29" s="586">
        <v>0</v>
      </c>
      <c r="E29" s="345"/>
      <c r="F29" s="345">
        <f t="shared" si="0"/>
        <v>0</v>
      </c>
      <c r="G29" s="682">
        <v>0</v>
      </c>
      <c r="H29" s="345"/>
      <c r="I29" s="345">
        <f t="shared" si="1"/>
        <v>0</v>
      </c>
      <c r="J29" s="682">
        <v>0</v>
      </c>
      <c r="K29" s="345"/>
      <c r="L29" s="345">
        <f t="shared" si="2"/>
        <v>0</v>
      </c>
      <c r="M29" s="345">
        <v>0</v>
      </c>
      <c r="N29" s="345"/>
      <c r="O29" s="345">
        <f t="shared" si="3"/>
        <v>0</v>
      </c>
      <c r="P29" s="345">
        <v>1</v>
      </c>
      <c r="Q29" s="345">
        <v>2600</v>
      </c>
      <c r="R29" s="345">
        <f t="shared" si="4"/>
        <v>2600</v>
      </c>
      <c r="S29" s="682">
        <v>0</v>
      </c>
      <c r="T29" s="345">
        <v>5200</v>
      </c>
      <c r="U29" s="345">
        <f t="shared" si="5"/>
        <v>0</v>
      </c>
      <c r="V29" s="345">
        <v>2</v>
      </c>
      <c r="W29" s="345">
        <v>365668</v>
      </c>
      <c r="X29" s="345">
        <f t="shared" si="6"/>
        <v>731336</v>
      </c>
      <c r="Y29" s="682">
        <v>0</v>
      </c>
      <c r="Z29" s="345">
        <v>5200</v>
      </c>
      <c r="AA29" s="345">
        <f t="shared" si="7"/>
        <v>0</v>
      </c>
    </row>
    <row r="30" spans="2:27" ht="14.1" customHeight="1" x14ac:dyDescent="0.25">
      <c r="B30" s="581">
        <v>25</v>
      </c>
      <c r="C30" s="600" t="s">
        <v>267</v>
      </c>
      <c r="D30" s="586">
        <v>0</v>
      </c>
      <c r="E30" s="345"/>
      <c r="F30" s="345">
        <f t="shared" si="0"/>
        <v>0</v>
      </c>
      <c r="G30" s="682">
        <v>0</v>
      </c>
      <c r="H30" s="345"/>
      <c r="I30" s="345">
        <f t="shared" si="1"/>
        <v>0</v>
      </c>
      <c r="J30" s="682">
        <v>0</v>
      </c>
      <c r="K30" s="345"/>
      <c r="L30" s="345">
        <f t="shared" si="2"/>
        <v>0</v>
      </c>
      <c r="M30" s="345">
        <v>0</v>
      </c>
      <c r="N30" s="345"/>
      <c r="O30" s="345">
        <f t="shared" si="3"/>
        <v>0</v>
      </c>
      <c r="P30" s="345">
        <v>1</v>
      </c>
      <c r="Q30" s="345">
        <v>2600</v>
      </c>
      <c r="R30" s="345">
        <f t="shared" si="4"/>
        <v>2600</v>
      </c>
      <c r="S30" s="682">
        <v>0</v>
      </c>
      <c r="T30" s="345">
        <v>5200</v>
      </c>
      <c r="U30" s="345">
        <f t="shared" si="5"/>
        <v>0</v>
      </c>
      <c r="V30" s="345">
        <v>2</v>
      </c>
      <c r="W30" s="345">
        <v>365668</v>
      </c>
      <c r="X30" s="345">
        <f t="shared" si="6"/>
        <v>731336</v>
      </c>
      <c r="Y30" s="682">
        <v>0</v>
      </c>
      <c r="Z30" s="345">
        <v>5200</v>
      </c>
      <c r="AA30" s="345">
        <f t="shared" si="7"/>
        <v>0</v>
      </c>
    </row>
    <row r="31" spans="2:27" ht="14.1" customHeight="1" x14ac:dyDescent="0.25">
      <c r="B31" s="581">
        <v>26</v>
      </c>
      <c r="C31" s="600" t="s">
        <v>268</v>
      </c>
      <c r="D31" s="586">
        <v>0</v>
      </c>
      <c r="E31" s="345"/>
      <c r="F31" s="345">
        <f t="shared" si="0"/>
        <v>0</v>
      </c>
      <c r="G31" s="682">
        <v>0</v>
      </c>
      <c r="H31" s="345"/>
      <c r="I31" s="345">
        <f t="shared" si="1"/>
        <v>0</v>
      </c>
      <c r="J31" s="682">
        <v>0</v>
      </c>
      <c r="K31" s="345"/>
      <c r="L31" s="345">
        <f t="shared" si="2"/>
        <v>0</v>
      </c>
      <c r="M31" s="345">
        <v>0</v>
      </c>
      <c r="N31" s="345"/>
      <c r="O31" s="345">
        <f t="shared" si="3"/>
        <v>0</v>
      </c>
      <c r="P31" s="345">
        <v>1</v>
      </c>
      <c r="Q31" s="345">
        <v>2600</v>
      </c>
      <c r="R31" s="345">
        <f t="shared" si="4"/>
        <v>2600</v>
      </c>
      <c r="S31" s="682">
        <v>0</v>
      </c>
      <c r="T31" s="345">
        <v>5200</v>
      </c>
      <c r="U31" s="345">
        <f t="shared" si="5"/>
        <v>0</v>
      </c>
      <c r="V31" s="345">
        <v>2</v>
      </c>
      <c r="W31" s="345">
        <v>365668</v>
      </c>
      <c r="X31" s="345">
        <f t="shared" si="6"/>
        <v>731336</v>
      </c>
      <c r="Y31" s="682">
        <v>0</v>
      </c>
      <c r="Z31" s="345">
        <v>5200</v>
      </c>
      <c r="AA31" s="345">
        <f t="shared" si="7"/>
        <v>0</v>
      </c>
    </row>
    <row r="32" spans="2:27" ht="14.1" customHeight="1" x14ac:dyDescent="0.25">
      <c r="B32" s="581">
        <v>27</v>
      </c>
      <c r="C32" s="600" t="s">
        <v>269</v>
      </c>
      <c r="D32" s="586">
        <v>0</v>
      </c>
      <c r="E32" s="345"/>
      <c r="F32" s="345">
        <f t="shared" si="0"/>
        <v>0</v>
      </c>
      <c r="G32" s="682">
        <v>0</v>
      </c>
      <c r="H32" s="345"/>
      <c r="I32" s="345">
        <f t="shared" si="1"/>
        <v>0</v>
      </c>
      <c r="J32" s="682">
        <v>0</v>
      </c>
      <c r="K32" s="345"/>
      <c r="L32" s="345">
        <f t="shared" si="2"/>
        <v>0</v>
      </c>
      <c r="M32" s="345">
        <v>0</v>
      </c>
      <c r="N32" s="345"/>
      <c r="O32" s="345">
        <f t="shared" si="3"/>
        <v>0</v>
      </c>
      <c r="P32" s="345">
        <v>1</v>
      </c>
      <c r="Q32" s="345">
        <v>2600</v>
      </c>
      <c r="R32" s="345">
        <f t="shared" si="4"/>
        <v>2600</v>
      </c>
      <c r="S32" s="682">
        <v>0</v>
      </c>
      <c r="T32" s="345">
        <v>5200</v>
      </c>
      <c r="U32" s="345">
        <f t="shared" si="5"/>
        <v>0</v>
      </c>
      <c r="V32" s="345">
        <v>2</v>
      </c>
      <c r="W32" s="345">
        <v>365668</v>
      </c>
      <c r="X32" s="345">
        <f t="shared" si="6"/>
        <v>731336</v>
      </c>
      <c r="Y32" s="682">
        <v>0</v>
      </c>
      <c r="Z32" s="345">
        <v>5200</v>
      </c>
      <c r="AA32" s="345">
        <f t="shared" si="7"/>
        <v>0</v>
      </c>
    </row>
    <row r="33" spans="2:27" ht="14.1" customHeight="1" x14ac:dyDescent="0.25">
      <c r="B33" s="581">
        <v>28</v>
      </c>
      <c r="C33" s="600" t="s">
        <v>270</v>
      </c>
      <c r="D33" s="586">
        <v>0</v>
      </c>
      <c r="E33" s="345"/>
      <c r="F33" s="345">
        <f t="shared" si="0"/>
        <v>0</v>
      </c>
      <c r="G33" s="682">
        <v>0</v>
      </c>
      <c r="H33" s="345"/>
      <c r="I33" s="345">
        <f t="shared" si="1"/>
        <v>0</v>
      </c>
      <c r="J33" s="682">
        <v>0</v>
      </c>
      <c r="K33" s="345"/>
      <c r="L33" s="345">
        <f t="shared" si="2"/>
        <v>0</v>
      </c>
      <c r="M33" s="345">
        <v>0</v>
      </c>
      <c r="N33" s="345"/>
      <c r="O33" s="345">
        <f t="shared" si="3"/>
        <v>0</v>
      </c>
      <c r="P33" s="345">
        <v>1</v>
      </c>
      <c r="Q33" s="345">
        <v>2600</v>
      </c>
      <c r="R33" s="345">
        <f t="shared" si="4"/>
        <v>2600</v>
      </c>
      <c r="S33" s="682">
        <v>0</v>
      </c>
      <c r="T33" s="345">
        <v>5200</v>
      </c>
      <c r="U33" s="345">
        <f t="shared" si="5"/>
        <v>0</v>
      </c>
      <c r="V33" s="345">
        <v>2</v>
      </c>
      <c r="W33" s="345">
        <v>365668</v>
      </c>
      <c r="X33" s="345">
        <f t="shared" si="6"/>
        <v>731336</v>
      </c>
      <c r="Y33" s="682">
        <v>0</v>
      </c>
      <c r="Z33" s="345">
        <v>5200</v>
      </c>
      <c r="AA33" s="345">
        <f t="shared" si="7"/>
        <v>0</v>
      </c>
    </row>
    <row r="34" spans="2:27" ht="14.1" customHeight="1" x14ac:dyDescent="0.25">
      <c r="B34" s="581">
        <v>29</v>
      </c>
      <c r="C34" s="600" t="s">
        <v>271</v>
      </c>
      <c r="D34" s="586">
        <v>0</v>
      </c>
      <c r="E34" s="345"/>
      <c r="F34" s="345">
        <f t="shared" si="0"/>
        <v>0</v>
      </c>
      <c r="G34" s="682">
        <v>0</v>
      </c>
      <c r="H34" s="345"/>
      <c r="I34" s="345">
        <f t="shared" si="1"/>
        <v>0</v>
      </c>
      <c r="J34" s="682">
        <v>0</v>
      </c>
      <c r="K34" s="345"/>
      <c r="L34" s="345">
        <f t="shared" si="2"/>
        <v>0</v>
      </c>
      <c r="M34" s="345">
        <v>0</v>
      </c>
      <c r="N34" s="345"/>
      <c r="O34" s="345">
        <f t="shared" si="3"/>
        <v>0</v>
      </c>
      <c r="P34" s="345">
        <v>1</v>
      </c>
      <c r="Q34" s="345">
        <v>2600</v>
      </c>
      <c r="R34" s="345">
        <f t="shared" si="4"/>
        <v>2600</v>
      </c>
      <c r="S34" s="682">
        <v>0</v>
      </c>
      <c r="T34" s="345">
        <v>5200</v>
      </c>
      <c r="U34" s="345">
        <f t="shared" si="5"/>
        <v>0</v>
      </c>
      <c r="V34" s="345">
        <v>2</v>
      </c>
      <c r="W34" s="345">
        <v>365668</v>
      </c>
      <c r="X34" s="345">
        <f t="shared" si="6"/>
        <v>731336</v>
      </c>
      <c r="Y34" s="682">
        <v>0</v>
      </c>
      <c r="Z34" s="345">
        <v>5200</v>
      </c>
      <c r="AA34" s="345">
        <f t="shared" si="7"/>
        <v>0</v>
      </c>
    </row>
    <row r="35" spans="2:27" ht="14.1" customHeight="1" x14ac:dyDescent="0.25">
      <c r="B35" s="581">
        <v>30</v>
      </c>
      <c r="C35" s="600" t="s">
        <v>272</v>
      </c>
      <c r="D35" s="586">
        <v>0</v>
      </c>
      <c r="E35" s="345"/>
      <c r="F35" s="345">
        <f t="shared" si="0"/>
        <v>0</v>
      </c>
      <c r="G35" s="682">
        <v>0</v>
      </c>
      <c r="H35" s="345"/>
      <c r="I35" s="345">
        <f t="shared" si="1"/>
        <v>0</v>
      </c>
      <c r="J35" s="682">
        <v>0</v>
      </c>
      <c r="K35" s="345"/>
      <c r="L35" s="345">
        <f t="shared" si="2"/>
        <v>0</v>
      </c>
      <c r="M35" s="345">
        <v>0</v>
      </c>
      <c r="N35" s="345"/>
      <c r="O35" s="345">
        <f t="shared" si="3"/>
        <v>0</v>
      </c>
      <c r="P35" s="345">
        <v>1</v>
      </c>
      <c r="Q35" s="345">
        <v>2600</v>
      </c>
      <c r="R35" s="345">
        <f t="shared" si="4"/>
        <v>2600</v>
      </c>
      <c r="S35" s="682">
        <v>0</v>
      </c>
      <c r="T35" s="345">
        <v>5200</v>
      </c>
      <c r="U35" s="345">
        <f t="shared" si="5"/>
        <v>0</v>
      </c>
      <c r="V35" s="345">
        <v>2</v>
      </c>
      <c r="W35" s="345">
        <v>365668</v>
      </c>
      <c r="X35" s="345">
        <f t="shared" si="6"/>
        <v>731336</v>
      </c>
      <c r="Y35" s="682">
        <v>0</v>
      </c>
      <c r="Z35" s="345">
        <v>5200</v>
      </c>
      <c r="AA35" s="345">
        <f t="shared" si="7"/>
        <v>0</v>
      </c>
    </row>
    <row r="36" spans="2:27" ht="14.1" customHeight="1" x14ac:dyDescent="0.25">
      <c r="B36" s="581">
        <v>31</v>
      </c>
      <c r="C36" s="600" t="s">
        <v>273</v>
      </c>
      <c r="D36" s="586">
        <v>0</v>
      </c>
      <c r="E36" s="345"/>
      <c r="F36" s="345">
        <f t="shared" si="0"/>
        <v>0</v>
      </c>
      <c r="G36" s="682">
        <v>0</v>
      </c>
      <c r="H36" s="345"/>
      <c r="I36" s="345">
        <f t="shared" si="1"/>
        <v>0</v>
      </c>
      <c r="J36" s="682">
        <v>0</v>
      </c>
      <c r="K36" s="345"/>
      <c r="L36" s="345">
        <f t="shared" si="2"/>
        <v>0</v>
      </c>
      <c r="M36" s="345">
        <v>0</v>
      </c>
      <c r="N36" s="345"/>
      <c r="O36" s="345">
        <f t="shared" si="3"/>
        <v>0</v>
      </c>
      <c r="P36" s="345">
        <v>1</v>
      </c>
      <c r="Q36" s="345">
        <v>2600</v>
      </c>
      <c r="R36" s="345">
        <f t="shared" si="4"/>
        <v>2600</v>
      </c>
      <c r="S36" s="682">
        <v>0</v>
      </c>
      <c r="T36" s="345">
        <v>5200</v>
      </c>
      <c r="U36" s="345">
        <f t="shared" si="5"/>
        <v>0</v>
      </c>
      <c r="V36" s="345">
        <v>2</v>
      </c>
      <c r="W36" s="345">
        <v>365668</v>
      </c>
      <c r="X36" s="345">
        <f t="shared" si="6"/>
        <v>731336</v>
      </c>
      <c r="Y36" s="682">
        <v>0</v>
      </c>
      <c r="Z36" s="345">
        <v>5200</v>
      </c>
      <c r="AA36" s="345">
        <f t="shared" si="7"/>
        <v>0</v>
      </c>
    </row>
    <row r="37" spans="2:27" ht="14.1" customHeight="1" x14ac:dyDescent="0.25">
      <c r="B37" s="581">
        <v>32</v>
      </c>
      <c r="C37" s="600" t="s">
        <v>274</v>
      </c>
      <c r="D37" s="586">
        <v>0</v>
      </c>
      <c r="E37" s="345"/>
      <c r="F37" s="345">
        <f t="shared" si="0"/>
        <v>0</v>
      </c>
      <c r="G37" s="682">
        <v>0</v>
      </c>
      <c r="H37" s="345"/>
      <c r="I37" s="345">
        <f t="shared" si="1"/>
        <v>0</v>
      </c>
      <c r="J37" s="682">
        <v>0</v>
      </c>
      <c r="K37" s="345"/>
      <c r="L37" s="345">
        <f t="shared" si="2"/>
        <v>0</v>
      </c>
      <c r="M37" s="345">
        <v>0</v>
      </c>
      <c r="N37" s="345"/>
      <c r="O37" s="345">
        <f t="shared" si="3"/>
        <v>0</v>
      </c>
      <c r="P37" s="345">
        <v>1</v>
      </c>
      <c r="Q37" s="345">
        <v>2600</v>
      </c>
      <c r="R37" s="345">
        <f t="shared" si="4"/>
        <v>2600</v>
      </c>
      <c r="S37" s="682">
        <v>0</v>
      </c>
      <c r="T37" s="345">
        <v>5200</v>
      </c>
      <c r="U37" s="345">
        <f t="shared" si="5"/>
        <v>0</v>
      </c>
      <c r="V37" s="345">
        <v>2</v>
      </c>
      <c r="W37" s="345">
        <v>365668</v>
      </c>
      <c r="X37" s="345">
        <f t="shared" si="6"/>
        <v>731336</v>
      </c>
      <c r="Y37" s="682">
        <v>0</v>
      </c>
      <c r="Z37" s="345">
        <v>5200</v>
      </c>
      <c r="AA37" s="345">
        <f t="shared" si="7"/>
        <v>0</v>
      </c>
    </row>
    <row r="38" spans="2:27" ht="14.1" customHeight="1" x14ac:dyDescent="0.25">
      <c r="B38" s="581">
        <v>33</v>
      </c>
      <c r="C38" s="600" t="s">
        <v>275</v>
      </c>
      <c r="D38" s="586">
        <v>0</v>
      </c>
      <c r="E38" s="345"/>
      <c r="F38" s="345">
        <f t="shared" si="0"/>
        <v>0</v>
      </c>
      <c r="G38" s="682">
        <v>0</v>
      </c>
      <c r="H38" s="345"/>
      <c r="I38" s="345">
        <f t="shared" si="1"/>
        <v>0</v>
      </c>
      <c r="J38" s="682">
        <v>0</v>
      </c>
      <c r="K38" s="345"/>
      <c r="L38" s="345">
        <f t="shared" si="2"/>
        <v>0</v>
      </c>
      <c r="M38" s="345">
        <v>0</v>
      </c>
      <c r="N38" s="345"/>
      <c r="O38" s="345">
        <f t="shared" si="3"/>
        <v>0</v>
      </c>
      <c r="P38" s="345">
        <v>1</v>
      </c>
      <c r="Q38" s="345">
        <v>2600</v>
      </c>
      <c r="R38" s="345">
        <f t="shared" si="4"/>
        <v>2600</v>
      </c>
      <c r="S38" s="682">
        <v>0</v>
      </c>
      <c r="T38" s="345">
        <v>5200</v>
      </c>
      <c r="U38" s="345">
        <f t="shared" si="5"/>
        <v>0</v>
      </c>
      <c r="V38" s="345">
        <v>2</v>
      </c>
      <c r="W38" s="345">
        <v>365668</v>
      </c>
      <c r="X38" s="345">
        <f t="shared" si="6"/>
        <v>731336</v>
      </c>
      <c r="Y38" s="682">
        <v>0</v>
      </c>
      <c r="Z38" s="345">
        <v>5200</v>
      </c>
      <c r="AA38" s="345">
        <f t="shared" si="7"/>
        <v>0</v>
      </c>
    </row>
    <row r="39" spans="2:27" ht="14.1" customHeight="1" x14ac:dyDescent="0.25">
      <c r="B39" s="581">
        <v>34</v>
      </c>
      <c r="C39" s="600" t="s">
        <v>296</v>
      </c>
      <c r="D39" s="586">
        <v>0</v>
      </c>
      <c r="E39" s="345"/>
      <c r="F39" s="345">
        <f t="shared" si="0"/>
        <v>0</v>
      </c>
      <c r="G39" s="682">
        <v>0</v>
      </c>
      <c r="H39" s="345"/>
      <c r="I39" s="345">
        <f t="shared" si="1"/>
        <v>0</v>
      </c>
      <c r="J39" s="682">
        <v>0</v>
      </c>
      <c r="K39" s="345"/>
      <c r="L39" s="345">
        <f t="shared" si="2"/>
        <v>0</v>
      </c>
      <c r="M39" s="345">
        <v>0</v>
      </c>
      <c r="N39" s="345"/>
      <c r="O39" s="345">
        <f t="shared" si="3"/>
        <v>0</v>
      </c>
      <c r="P39" s="345">
        <v>9</v>
      </c>
      <c r="Q39" s="345">
        <v>2600</v>
      </c>
      <c r="R39" s="345">
        <f t="shared" si="4"/>
        <v>23400</v>
      </c>
      <c r="S39" s="682">
        <v>0</v>
      </c>
      <c r="T39" s="345">
        <v>5200</v>
      </c>
      <c r="U39" s="345">
        <f t="shared" si="5"/>
        <v>0</v>
      </c>
      <c r="V39" s="345">
        <v>12</v>
      </c>
      <c r="W39" s="345">
        <v>365668</v>
      </c>
      <c r="X39" s="345">
        <f t="shared" si="6"/>
        <v>4388016</v>
      </c>
      <c r="Y39" s="682">
        <v>0</v>
      </c>
      <c r="Z39" s="345">
        <v>5200</v>
      </c>
      <c r="AA39" s="345">
        <f t="shared" si="7"/>
        <v>0</v>
      </c>
    </row>
    <row r="40" spans="2:27" ht="14.1" customHeight="1" x14ac:dyDescent="0.25">
      <c r="B40" s="581">
        <v>35</v>
      </c>
      <c r="C40" s="600" t="s">
        <v>277</v>
      </c>
      <c r="D40" s="586">
        <v>0</v>
      </c>
      <c r="E40" s="345"/>
      <c r="F40" s="345">
        <f t="shared" si="0"/>
        <v>0</v>
      </c>
      <c r="G40" s="682">
        <v>0</v>
      </c>
      <c r="H40" s="345"/>
      <c r="I40" s="345">
        <f t="shared" si="1"/>
        <v>0</v>
      </c>
      <c r="J40" s="682">
        <v>0</v>
      </c>
      <c r="K40" s="345"/>
      <c r="L40" s="345">
        <f t="shared" si="2"/>
        <v>0</v>
      </c>
      <c r="M40" s="345">
        <v>0</v>
      </c>
      <c r="N40" s="345"/>
      <c r="O40" s="345">
        <f t="shared" si="3"/>
        <v>0</v>
      </c>
      <c r="P40" s="345">
        <v>9</v>
      </c>
      <c r="Q40" s="345">
        <v>2600</v>
      </c>
      <c r="R40" s="345">
        <f t="shared" si="4"/>
        <v>23400</v>
      </c>
      <c r="S40" s="682">
        <v>0</v>
      </c>
      <c r="T40" s="345">
        <v>5200</v>
      </c>
      <c r="U40" s="345">
        <f t="shared" si="5"/>
        <v>0</v>
      </c>
      <c r="V40" s="345">
        <v>12</v>
      </c>
      <c r="W40" s="345">
        <v>365668</v>
      </c>
      <c r="X40" s="345">
        <f t="shared" si="6"/>
        <v>4388016</v>
      </c>
      <c r="Y40" s="682">
        <v>0</v>
      </c>
      <c r="Z40" s="345">
        <v>5200</v>
      </c>
      <c r="AA40" s="345">
        <f t="shared" si="7"/>
        <v>0</v>
      </c>
    </row>
    <row r="41" spans="2:27" ht="14.1" customHeight="1" x14ac:dyDescent="0.25">
      <c r="B41" s="581">
        <v>36</v>
      </c>
      <c r="C41" s="600" t="s">
        <v>278</v>
      </c>
      <c r="D41" s="586">
        <v>0</v>
      </c>
      <c r="E41" s="345"/>
      <c r="F41" s="345">
        <f t="shared" si="0"/>
        <v>0</v>
      </c>
      <c r="G41" s="682">
        <v>0</v>
      </c>
      <c r="H41" s="345"/>
      <c r="I41" s="345">
        <f t="shared" si="1"/>
        <v>0</v>
      </c>
      <c r="J41" s="682">
        <v>0</v>
      </c>
      <c r="K41" s="345"/>
      <c r="L41" s="345">
        <f t="shared" si="2"/>
        <v>0</v>
      </c>
      <c r="M41" s="345">
        <v>0</v>
      </c>
      <c r="N41" s="345"/>
      <c r="O41" s="345">
        <f t="shared" si="3"/>
        <v>0</v>
      </c>
      <c r="P41" s="345">
        <v>9</v>
      </c>
      <c r="Q41" s="345">
        <v>2600</v>
      </c>
      <c r="R41" s="345">
        <f t="shared" si="4"/>
        <v>23400</v>
      </c>
      <c r="S41" s="682">
        <v>0</v>
      </c>
      <c r="T41" s="345">
        <v>5200</v>
      </c>
      <c r="U41" s="345">
        <f t="shared" si="5"/>
        <v>0</v>
      </c>
      <c r="V41" s="345">
        <v>12</v>
      </c>
      <c r="W41" s="345">
        <v>365668</v>
      </c>
      <c r="X41" s="345">
        <f t="shared" si="6"/>
        <v>4388016</v>
      </c>
      <c r="Y41" s="682">
        <v>0</v>
      </c>
      <c r="Z41" s="345">
        <v>5200</v>
      </c>
      <c r="AA41" s="345">
        <f t="shared" si="7"/>
        <v>0</v>
      </c>
    </row>
    <row r="42" spans="2:27" ht="14.1" customHeight="1" x14ac:dyDescent="0.25">
      <c r="B42" s="148"/>
      <c r="C42" s="205" t="s">
        <v>297</v>
      </c>
      <c r="D42" s="581">
        <f>SUM(D6:D41)</f>
        <v>0</v>
      </c>
      <c r="E42" s="980">
        <f>SUM(F6:F41)</f>
        <v>0</v>
      </c>
      <c r="F42" s="981"/>
      <c r="G42" s="571">
        <f>SUM(G6:G41)</f>
        <v>0</v>
      </c>
      <c r="H42" s="980">
        <f>SUM(I6:I41)</f>
        <v>0</v>
      </c>
      <c r="I42" s="981"/>
      <c r="J42" s="571">
        <f>SUM(J6:J41)</f>
        <v>0</v>
      </c>
      <c r="K42" s="980">
        <f>SUM(L6:L41)</f>
        <v>0</v>
      </c>
      <c r="L42" s="981"/>
      <c r="M42" s="345">
        <f>SUM(M6:M41)</f>
        <v>0</v>
      </c>
      <c r="N42" s="980">
        <f>SUM(O6:O41)</f>
        <v>0</v>
      </c>
      <c r="O42" s="981"/>
      <c r="P42" s="571">
        <f>SUM(P6:P41)</f>
        <v>60</v>
      </c>
      <c r="Q42" s="980">
        <f>SUM(R6:R41)</f>
        <v>156000</v>
      </c>
      <c r="R42" s="981"/>
      <c r="S42" s="571">
        <f>SUM(S6:S41)</f>
        <v>0</v>
      </c>
      <c r="T42" s="980">
        <f>SUM(U6:U41)</f>
        <v>0</v>
      </c>
      <c r="U42" s="981"/>
      <c r="V42" s="571">
        <f>SUM(V6:V41)</f>
        <v>102</v>
      </c>
      <c r="W42" s="980">
        <f>SUM(X6:X41)</f>
        <v>37298136</v>
      </c>
      <c r="X42" s="981"/>
      <c r="Y42" s="571">
        <f>SUM(Y6:Y41)</f>
        <v>0</v>
      </c>
      <c r="Z42" s="980">
        <f>SUM(AA6:AA41)</f>
        <v>0</v>
      </c>
      <c r="AA42" s="981"/>
    </row>
    <row r="43" spans="2:27" ht="14.1" customHeight="1" x14ac:dyDescent="0.25">
      <c r="B43" s="148"/>
      <c r="C43" s="207" t="s">
        <v>282</v>
      </c>
      <c r="D43" s="148"/>
      <c r="E43" s="980">
        <f>E42*0.16</f>
        <v>0</v>
      </c>
      <c r="F43" s="981"/>
      <c r="G43" s="571"/>
      <c r="H43" s="980">
        <f>H42*0.16</f>
        <v>0</v>
      </c>
      <c r="I43" s="981"/>
      <c r="J43" s="571"/>
      <c r="K43" s="980">
        <f>K42*0.16</f>
        <v>0</v>
      </c>
      <c r="L43" s="981"/>
      <c r="M43" s="345">
        <f t="shared" ref="M43" si="15">M42*0.16</f>
        <v>0</v>
      </c>
      <c r="N43" s="980">
        <f>N42*0.16</f>
        <v>0</v>
      </c>
      <c r="O43" s="981"/>
      <c r="P43" s="571"/>
      <c r="Q43" s="980">
        <f>Q42*0.16</f>
        <v>24960</v>
      </c>
      <c r="R43" s="981"/>
      <c r="S43" s="571"/>
      <c r="T43" s="980">
        <f>T42*0.16</f>
        <v>0</v>
      </c>
      <c r="U43" s="981"/>
      <c r="V43" s="571"/>
      <c r="W43" s="980">
        <f>W42*0.16</f>
        <v>5967701.7599999998</v>
      </c>
      <c r="X43" s="981"/>
      <c r="Y43" s="571"/>
      <c r="Z43" s="980">
        <f>Z42*0.16</f>
        <v>0</v>
      </c>
      <c r="AA43" s="981"/>
    </row>
    <row r="44" spans="2:27" ht="14.1" customHeight="1" x14ac:dyDescent="0.25">
      <c r="B44" s="148"/>
      <c r="C44" s="207" t="s">
        <v>298</v>
      </c>
      <c r="D44" s="148"/>
      <c r="E44" s="980">
        <f>SUM(E42:F43)</f>
        <v>0</v>
      </c>
      <c r="F44" s="981"/>
      <c r="G44" s="571">
        <f t="shared" ref="G44:Y44" si="16">SUM(G42:G43)</f>
        <v>0</v>
      </c>
      <c r="H44" s="980">
        <f>SUM(H42:I43)</f>
        <v>0</v>
      </c>
      <c r="I44" s="981"/>
      <c r="J44" s="571">
        <f t="shared" si="16"/>
        <v>0</v>
      </c>
      <c r="K44" s="980">
        <f>SUM(K42:L43)</f>
        <v>0</v>
      </c>
      <c r="L44" s="981"/>
      <c r="M44" s="345">
        <f t="shared" ref="M44" si="17">SUM(M42:M43)</f>
        <v>0</v>
      </c>
      <c r="N44" s="980">
        <f>SUM(N42:O43)</f>
        <v>0</v>
      </c>
      <c r="O44" s="981"/>
      <c r="P44" s="571">
        <f t="shared" si="16"/>
        <v>60</v>
      </c>
      <c r="Q44" s="980">
        <f>SUM(Q42:R43)</f>
        <v>180960</v>
      </c>
      <c r="R44" s="981"/>
      <c r="S44" s="571">
        <f t="shared" si="16"/>
        <v>0</v>
      </c>
      <c r="T44" s="980">
        <f>SUM(T42:U43)</f>
        <v>0</v>
      </c>
      <c r="U44" s="981"/>
      <c r="V44" s="571">
        <f t="shared" ref="V44" si="18">SUM(V42:V43)</f>
        <v>102</v>
      </c>
      <c r="W44" s="980">
        <f>SUM(W42:X43)</f>
        <v>43265837.759999998</v>
      </c>
      <c r="X44" s="981"/>
      <c r="Y44" s="571">
        <f t="shared" si="16"/>
        <v>0</v>
      </c>
      <c r="Z44" s="980">
        <f>SUM(Z42:AA43)</f>
        <v>0</v>
      </c>
      <c r="AA44" s="981"/>
    </row>
    <row r="45" spans="2:27" ht="14.1" customHeight="1" x14ac:dyDescent="0.25">
      <c r="B45" s="565"/>
      <c r="C45" s="565"/>
      <c r="D45" s="565"/>
      <c r="E45" s="565"/>
      <c r="F45" s="565"/>
      <c r="G45" s="565"/>
      <c r="H45" s="565"/>
      <c r="I45" s="565"/>
      <c r="J45" s="565"/>
      <c r="K45" s="565"/>
      <c r="L45" s="565"/>
      <c r="M45" s="565"/>
      <c r="N45" s="565"/>
      <c r="O45" s="565"/>
      <c r="P45" s="565"/>
      <c r="Q45" s="565"/>
      <c r="R45" s="683"/>
      <c r="S45" s="867" t="s">
        <v>298</v>
      </c>
      <c r="T45" s="867"/>
      <c r="U45" s="867"/>
      <c r="V45" s="867"/>
      <c r="W45" s="867"/>
      <c r="X45" s="867"/>
      <c r="Y45" s="867"/>
      <c r="Z45" s="907">
        <f>+Z44+W44+T44+Q44+N44+K44+H44+E44</f>
        <v>43446797.759999998</v>
      </c>
      <c r="AA45" s="867"/>
    </row>
  </sheetData>
  <mergeCells count="38">
    <mergeCell ref="K44:L44"/>
    <mergeCell ref="K43:L43"/>
    <mergeCell ref="Z45:AA45"/>
    <mergeCell ref="S45:Y45"/>
    <mergeCell ref="B4:B5"/>
    <mergeCell ref="C4:C5"/>
    <mergeCell ref="H43:I43"/>
    <mergeCell ref="H44:I44"/>
    <mergeCell ref="Y4:AA4"/>
    <mergeCell ref="P4:R4"/>
    <mergeCell ref="E42:F42"/>
    <mergeCell ref="E43:F43"/>
    <mergeCell ref="E44:F44"/>
    <mergeCell ref="K42:L42"/>
    <mergeCell ref="H42:I42"/>
    <mergeCell ref="D4:F4"/>
    <mergeCell ref="G4:I4"/>
    <mergeCell ref="J4:L4"/>
    <mergeCell ref="B1:AA1"/>
    <mergeCell ref="B3:AA3"/>
    <mergeCell ref="Q42:R42"/>
    <mergeCell ref="Z42:AA42"/>
    <mergeCell ref="V4:X4"/>
    <mergeCell ref="W42:X42"/>
    <mergeCell ref="Z43:AA43"/>
    <mergeCell ref="Z44:AA44"/>
    <mergeCell ref="N42:O42"/>
    <mergeCell ref="M4:O4"/>
    <mergeCell ref="S4:U4"/>
    <mergeCell ref="N43:O43"/>
    <mergeCell ref="N44:O44"/>
    <mergeCell ref="Q43:R43"/>
    <mergeCell ref="Q44:R44"/>
    <mergeCell ref="T42:U42"/>
    <mergeCell ref="T43:U43"/>
    <mergeCell ref="T44:U44"/>
    <mergeCell ref="W43:X43"/>
    <mergeCell ref="W44:X44"/>
  </mergeCells>
  <pageMargins left="0.7" right="0.7" top="0.75" bottom="0.75" header="0.3" footer="0.3"/>
  <pageSetup paperSize="5" scale="70" orientation="landscape" r:id="rId1"/>
  <headerFooter>
    <oddFooter xml:space="preserve">&amp;C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X47"/>
  <sheetViews>
    <sheetView view="pageLayout" topLeftCell="D28" zoomScaleNormal="90" workbookViewId="0">
      <selection activeCell="W48" sqref="W48"/>
    </sheetView>
  </sheetViews>
  <sheetFormatPr baseColWidth="10" defaultRowHeight="15" x14ac:dyDescent="0.25"/>
  <cols>
    <col min="1" max="1" width="11.42578125" style="367"/>
    <col min="2" max="2" width="4.7109375" style="367" bestFit="1" customWidth="1"/>
    <col min="3" max="3" width="19.42578125" style="367" customWidth="1"/>
    <col min="4" max="4" width="5.7109375" style="367" bestFit="1" customWidth="1"/>
    <col min="5" max="5" width="10.140625" style="367" customWidth="1"/>
    <col min="6" max="6" width="9.140625" style="367" customWidth="1"/>
    <col min="7" max="7" width="6.85546875" style="367" customWidth="1"/>
    <col min="8" max="8" width="10" style="367" bestFit="1" customWidth="1"/>
    <col min="9" max="9" width="10" style="367" customWidth="1"/>
    <col min="10" max="10" width="7.140625" style="367" customWidth="1"/>
    <col min="11" max="11" width="10" style="367" bestFit="1" customWidth="1"/>
    <col min="12" max="12" width="10" style="367" customWidth="1"/>
    <col min="13" max="13" width="5.42578125" style="367" customWidth="1"/>
    <col min="14" max="14" width="8.28515625" style="367" customWidth="1"/>
    <col min="15" max="15" width="6.5703125" style="367" customWidth="1"/>
    <col min="16" max="16" width="5.140625" style="367" customWidth="1"/>
    <col min="17" max="17" width="8.42578125" style="367" customWidth="1"/>
    <col min="18" max="18" width="7.28515625" style="367" customWidth="1"/>
    <col min="19" max="19" width="5.28515625" style="367" customWidth="1"/>
    <col min="20" max="20" width="8.7109375" style="367" customWidth="1"/>
    <col min="21" max="21" width="8" style="367" customWidth="1"/>
    <col min="22" max="22" width="6" style="367" customWidth="1"/>
    <col min="23" max="23" width="8" style="367" customWidth="1"/>
    <col min="24" max="24" width="7.5703125" style="367" customWidth="1"/>
    <col min="25" max="16384" width="11.42578125" style="367"/>
  </cols>
  <sheetData>
    <row r="2" spans="2:24" x14ac:dyDescent="0.25">
      <c r="B2" s="988"/>
      <c r="C2" s="988"/>
      <c r="D2" s="988"/>
      <c r="E2" s="988"/>
      <c r="F2" s="988"/>
      <c r="G2" s="988"/>
      <c r="H2" s="988"/>
      <c r="I2" s="988"/>
      <c r="J2" s="988"/>
      <c r="K2" s="988"/>
      <c r="L2" s="988"/>
      <c r="M2" s="988"/>
      <c r="N2" s="988"/>
      <c r="O2" s="988"/>
      <c r="P2" s="988"/>
      <c r="Q2" s="988"/>
      <c r="R2" s="988"/>
      <c r="S2" s="988"/>
      <c r="T2" s="988"/>
      <c r="U2" s="988"/>
      <c r="V2" s="988"/>
      <c r="W2" s="988"/>
      <c r="X2" s="988"/>
    </row>
    <row r="3" spans="2:24" x14ac:dyDescent="0.25">
      <c r="B3" s="983" t="s">
        <v>1405</v>
      </c>
      <c r="C3" s="983"/>
      <c r="D3" s="983"/>
      <c r="E3" s="983"/>
      <c r="F3" s="983"/>
      <c r="G3" s="983"/>
      <c r="H3" s="983"/>
      <c r="I3" s="983"/>
      <c r="J3" s="983"/>
      <c r="K3" s="983"/>
      <c r="L3" s="983"/>
      <c r="M3" s="983"/>
      <c r="N3" s="983"/>
      <c r="O3" s="983"/>
      <c r="P3" s="983"/>
      <c r="Q3" s="983"/>
      <c r="R3" s="983"/>
      <c r="S3" s="983"/>
      <c r="T3" s="983"/>
      <c r="U3" s="983"/>
      <c r="V3" s="983"/>
      <c r="W3" s="983"/>
      <c r="X3" s="983"/>
    </row>
    <row r="4" spans="2:24" ht="20.25" customHeight="1" x14ac:dyDescent="0.25">
      <c r="B4" s="989" t="s">
        <v>346</v>
      </c>
      <c r="C4" s="985" t="s">
        <v>287</v>
      </c>
      <c r="D4" s="985" t="s">
        <v>1774</v>
      </c>
      <c r="E4" s="985"/>
      <c r="F4" s="985"/>
      <c r="G4" s="985" t="s">
        <v>1893</v>
      </c>
      <c r="H4" s="985"/>
      <c r="I4" s="985"/>
      <c r="J4" s="985" t="s">
        <v>1773</v>
      </c>
      <c r="K4" s="985"/>
      <c r="L4" s="985"/>
      <c r="M4" s="985" t="s">
        <v>519</v>
      </c>
      <c r="N4" s="985"/>
      <c r="O4" s="985"/>
      <c r="P4" s="970" t="s">
        <v>1775</v>
      </c>
      <c r="Q4" s="991"/>
      <c r="R4" s="971"/>
      <c r="S4" s="985" t="s">
        <v>1776</v>
      </c>
      <c r="T4" s="985"/>
      <c r="U4" s="985"/>
      <c r="V4" s="985" t="s">
        <v>1229</v>
      </c>
      <c r="W4" s="985"/>
      <c r="X4" s="985"/>
    </row>
    <row r="5" spans="2:24" ht="32.25" customHeight="1" x14ac:dyDescent="0.25">
      <c r="B5" s="990"/>
      <c r="C5" s="985"/>
      <c r="D5" s="706" t="s">
        <v>162</v>
      </c>
      <c r="E5" s="529" t="s">
        <v>310</v>
      </c>
      <c r="F5" s="529" t="s">
        <v>180</v>
      </c>
      <c r="G5" s="706" t="s">
        <v>162</v>
      </c>
      <c r="H5" s="529" t="s">
        <v>310</v>
      </c>
      <c r="I5" s="529" t="s">
        <v>180</v>
      </c>
      <c r="J5" s="706" t="s">
        <v>162</v>
      </c>
      <c r="K5" s="529" t="s">
        <v>310</v>
      </c>
      <c r="L5" s="529" t="s">
        <v>180</v>
      </c>
      <c r="M5" s="706" t="s">
        <v>162</v>
      </c>
      <c r="N5" s="529" t="s">
        <v>310</v>
      </c>
      <c r="O5" s="529" t="s">
        <v>180</v>
      </c>
      <c r="P5" s="706" t="s">
        <v>162</v>
      </c>
      <c r="Q5" s="529" t="s">
        <v>310</v>
      </c>
      <c r="R5" s="529" t="s">
        <v>180</v>
      </c>
      <c r="S5" s="706" t="s">
        <v>162</v>
      </c>
      <c r="T5" s="529" t="s">
        <v>310</v>
      </c>
      <c r="U5" s="529" t="s">
        <v>180</v>
      </c>
      <c r="V5" s="706" t="s">
        <v>162</v>
      </c>
      <c r="W5" s="529" t="s">
        <v>310</v>
      </c>
      <c r="X5" s="529" t="s">
        <v>180</v>
      </c>
    </row>
    <row r="6" spans="2:24" ht="14.1" customHeight="1" x14ac:dyDescent="0.25">
      <c r="B6" s="707">
        <v>1</v>
      </c>
      <c r="C6" s="708" t="s">
        <v>241</v>
      </c>
      <c r="D6" s="545">
        <v>1</v>
      </c>
      <c r="E6" s="709">
        <v>5200</v>
      </c>
      <c r="F6" s="709">
        <f>D6*E6</f>
        <v>5200</v>
      </c>
      <c r="G6" s="710">
        <v>1</v>
      </c>
      <c r="H6" s="709">
        <v>5200</v>
      </c>
      <c r="I6" s="709">
        <f>G6*H6</f>
        <v>5200</v>
      </c>
      <c r="J6" s="710">
        <f>G6*2</f>
        <v>2</v>
      </c>
      <c r="K6" s="709">
        <v>4000</v>
      </c>
      <c r="L6" s="709">
        <f>J6*K6</f>
        <v>8000</v>
      </c>
      <c r="M6" s="709">
        <v>0</v>
      </c>
      <c r="N6" s="709">
        <v>10400</v>
      </c>
      <c r="O6" s="709">
        <f>M6*N6</f>
        <v>0</v>
      </c>
      <c r="P6" s="709">
        <v>0</v>
      </c>
      <c r="Q6" s="709">
        <v>18200</v>
      </c>
      <c r="R6" s="709">
        <f>P6*Q6</f>
        <v>0</v>
      </c>
      <c r="S6" s="710">
        <v>1</v>
      </c>
      <c r="T6" s="709">
        <v>6500</v>
      </c>
      <c r="U6" s="709">
        <f>S6*T6</f>
        <v>6500</v>
      </c>
      <c r="V6" s="710">
        <v>0</v>
      </c>
      <c r="W6" s="709">
        <v>11050</v>
      </c>
      <c r="X6" s="709">
        <f>V6*W6</f>
        <v>0</v>
      </c>
    </row>
    <row r="7" spans="2:24" ht="14.1" customHeight="1" x14ac:dyDescent="0.25">
      <c r="B7" s="707">
        <v>2</v>
      </c>
      <c r="C7" s="708" t="s">
        <v>242</v>
      </c>
      <c r="D7" s="545">
        <v>1</v>
      </c>
      <c r="E7" s="709">
        <v>5200</v>
      </c>
      <c r="F7" s="709">
        <f t="shared" ref="F7:F42" si="0">D7*E7</f>
        <v>5200</v>
      </c>
      <c r="G7" s="710">
        <v>1</v>
      </c>
      <c r="H7" s="709">
        <v>5200</v>
      </c>
      <c r="I7" s="709">
        <f t="shared" ref="I7:I42" si="1">G7*H7</f>
        <v>5200</v>
      </c>
      <c r="J7" s="710">
        <f t="shared" ref="J7:J42" si="2">G7*2</f>
        <v>2</v>
      </c>
      <c r="K7" s="709">
        <v>4000</v>
      </c>
      <c r="L7" s="709">
        <f t="shared" ref="L7:L42" si="3">J7*K7</f>
        <v>8000</v>
      </c>
      <c r="M7" s="709">
        <v>2</v>
      </c>
      <c r="N7" s="709">
        <v>10400</v>
      </c>
      <c r="O7" s="709">
        <f t="shared" ref="O7:O42" si="4">M7*N7</f>
        <v>20800</v>
      </c>
      <c r="P7" s="709">
        <v>0</v>
      </c>
      <c r="Q7" s="709">
        <v>18200</v>
      </c>
      <c r="R7" s="709">
        <f t="shared" ref="R7:R42" si="5">P7*Q7</f>
        <v>0</v>
      </c>
      <c r="S7" s="710">
        <v>1</v>
      </c>
      <c r="T7" s="709">
        <v>6500</v>
      </c>
      <c r="U7" s="709">
        <f t="shared" ref="U7:U42" si="6">S7*T7</f>
        <v>6500</v>
      </c>
      <c r="V7" s="710">
        <v>0</v>
      </c>
      <c r="W7" s="709">
        <v>11050</v>
      </c>
      <c r="X7" s="709">
        <f t="shared" ref="X7:X42" si="7">V7*W7</f>
        <v>0</v>
      </c>
    </row>
    <row r="8" spans="2:24" ht="14.1" customHeight="1" x14ac:dyDescent="0.25">
      <c r="B8" s="707">
        <v>3</v>
      </c>
      <c r="C8" s="708" t="s">
        <v>530</v>
      </c>
      <c r="D8" s="545">
        <v>1</v>
      </c>
      <c r="E8" s="709">
        <v>5200</v>
      </c>
      <c r="F8" s="709">
        <f t="shared" si="0"/>
        <v>5200</v>
      </c>
      <c r="G8" s="710">
        <v>1</v>
      </c>
      <c r="H8" s="709">
        <v>5200</v>
      </c>
      <c r="I8" s="709">
        <f t="shared" si="1"/>
        <v>5200</v>
      </c>
      <c r="J8" s="710">
        <f t="shared" si="2"/>
        <v>2</v>
      </c>
      <c r="K8" s="709">
        <v>4000</v>
      </c>
      <c r="L8" s="709">
        <f t="shared" si="3"/>
        <v>8000</v>
      </c>
      <c r="M8" s="709">
        <v>0</v>
      </c>
      <c r="N8" s="709">
        <v>10400</v>
      </c>
      <c r="O8" s="709">
        <f t="shared" si="4"/>
        <v>0</v>
      </c>
      <c r="P8" s="709">
        <v>0</v>
      </c>
      <c r="Q8" s="709">
        <v>18200</v>
      </c>
      <c r="R8" s="709">
        <f t="shared" si="5"/>
        <v>0</v>
      </c>
      <c r="S8" s="710">
        <v>1</v>
      </c>
      <c r="T8" s="709">
        <v>6500</v>
      </c>
      <c r="U8" s="709">
        <f t="shared" si="6"/>
        <v>6500</v>
      </c>
      <c r="V8" s="710">
        <v>0</v>
      </c>
      <c r="W8" s="709">
        <v>11050</v>
      </c>
      <c r="X8" s="709">
        <f t="shared" si="7"/>
        <v>0</v>
      </c>
    </row>
    <row r="9" spans="2:24" ht="14.1" customHeight="1" x14ac:dyDescent="0.25">
      <c r="B9" s="707">
        <v>4</v>
      </c>
      <c r="C9" s="708" t="s">
        <v>244</v>
      </c>
      <c r="D9" s="545">
        <v>1</v>
      </c>
      <c r="E9" s="709">
        <v>5200</v>
      </c>
      <c r="F9" s="709">
        <f t="shared" si="0"/>
        <v>5200</v>
      </c>
      <c r="G9" s="710">
        <v>1</v>
      </c>
      <c r="H9" s="709">
        <v>5200</v>
      </c>
      <c r="I9" s="709">
        <f t="shared" si="1"/>
        <v>5200</v>
      </c>
      <c r="J9" s="710">
        <f t="shared" si="2"/>
        <v>2</v>
      </c>
      <c r="K9" s="709">
        <v>4000</v>
      </c>
      <c r="L9" s="709">
        <f t="shared" si="3"/>
        <v>8000</v>
      </c>
      <c r="M9" s="709">
        <v>0</v>
      </c>
      <c r="N9" s="709">
        <v>10400</v>
      </c>
      <c r="O9" s="709">
        <f t="shared" si="4"/>
        <v>0</v>
      </c>
      <c r="P9" s="709">
        <v>0</v>
      </c>
      <c r="Q9" s="709">
        <v>18200</v>
      </c>
      <c r="R9" s="709">
        <f t="shared" si="5"/>
        <v>0</v>
      </c>
      <c r="S9" s="710">
        <v>1</v>
      </c>
      <c r="T9" s="709">
        <v>6500</v>
      </c>
      <c r="U9" s="709">
        <f t="shared" si="6"/>
        <v>6500</v>
      </c>
      <c r="V9" s="710">
        <v>0</v>
      </c>
      <c r="W9" s="709">
        <v>11050</v>
      </c>
      <c r="X9" s="709">
        <f t="shared" si="7"/>
        <v>0</v>
      </c>
    </row>
    <row r="10" spans="2:24" ht="14.1" customHeight="1" x14ac:dyDescent="0.25">
      <c r="B10" s="707">
        <v>5</v>
      </c>
      <c r="C10" s="708" t="s">
        <v>245</v>
      </c>
      <c r="D10" s="545">
        <v>1</v>
      </c>
      <c r="E10" s="709">
        <v>5200</v>
      </c>
      <c r="F10" s="709">
        <f t="shared" si="0"/>
        <v>5200</v>
      </c>
      <c r="G10" s="710">
        <v>1</v>
      </c>
      <c r="H10" s="709">
        <v>5200</v>
      </c>
      <c r="I10" s="709">
        <f t="shared" si="1"/>
        <v>5200</v>
      </c>
      <c r="J10" s="710">
        <f t="shared" si="2"/>
        <v>2</v>
      </c>
      <c r="K10" s="709">
        <v>4000</v>
      </c>
      <c r="L10" s="709">
        <f t="shared" si="3"/>
        <v>8000</v>
      </c>
      <c r="M10" s="709">
        <v>0</v>
      </c>
      <c r="N10" s="709">
        <v>10400</v>
      </c>
      <c r="O10" s="709">
        <f t="shared" si="4"/>
        <v>0</v>
      </c>
      <c r="P10" s="709">
        <v>0</v>
      </c>
      <c r="Q10" s="709">
        <v>18200</v>
      </c>
      <c r="R10" s="709">
        <f t="shared" si="5"/>
        <v>0</v>
      </c>
      <c r="S10" s="710">
        <v>1</v>
      </c>
      <c r="T10" s="709">
        <v>6500</v>
      </c>
      <c r="U10" s="709">
        <f t="shared" si="6"/>
        <v>6500</v>
      </c>
      <c r="V10" s="710">
        <v>0</v>
      </c>
      <c r="W10" s="709">
        <v>11050</v>
      </c>
      <c r="X10" s="709">
        <f t="shared" si="7"/>
        <v>0</v>
      </c>
    </row>
    <row r="11" spans="2:24" ht="14.1" customHeight="1" x14ac:dyDescent="0.25">
      <c r="B11" s="707">
        <v>6</v>
      </c>
      <c r="C11" s="708" t="s">
        <v>246</v>
      </c>
      <c r="D11" s="545">
        <v>1</v>
      </c>
      <c r="E11" s="709">
        <v>5200</v>
      </c>
      <c r="F11" s="709">
        <f t="shared" si="0"/>
        <v>5200</v>
      </c>
      <c r="G11" s="710">
        <v>1</v>
      </c>
      <c r="H11" s="709">
        <v>5200</v>
      </c>
      <c r="I11" s="709">
        <f t="shared" si="1"/>
        <v>5200</v>
      </c>
      <c r="J11" s="710">
        <f t="shared" si="2"/>
        <v>2</v>
      </c>
      <c r="K11" s="709">
        <v>4000</v>
      </c>
      <c r="L11" s="709">
        <f t="shared" si="3"/>
        <v>8000</v>
      </c>
      <c r="M11" s="709">
        <v>0</v>
      </c>
      <c r="N11" s="709">
        <v>10400</v>
      </c>
      <c r="O11" s="709">
        <f t="shared" si="4"/>
        <v>0</v>
      </c>
      <c r="P11" s="709">
        <v>0</v>
      </c>
      <c r="Q11" s="709">
        <v>18200</v>
      </c>
      <c r="R11" s="709">
        <f t="shared" si="5"/>
        <v>0</v>
      </c>
      <c r="S11" s="710">
        <v>1</v>
      </c>
      <c r="T11" s="709">
        <v>6500</v>
      </c>
      <c r="U11" s="709">
        <f t="shared" si="6"/>
        <v>6500</v>
      </c>
      <c r="V11" s="710">
        <v>0</v>
      </c>
      <c r="W11" s="709">
        <v>11050</v>
      </c>
      <c r="X11" s="709">
        <f t="shared" si="7"/>
        <v>0</v>
      </c>
    </row>
    <row r="12" spans="2:24" ht="14.1" customHeight="1" x14ac:dyDescent="0.25">
      <c r="B12" s="707">
        <v>7</v>
      </c>
      <c r="C12" s="711" t="s">
        <v>247</v>
      </c>
      <c r="D12" s="545">
        <v>1</v>
      </c>
      <c r="E12" s="709">
        <v>5200</v>
      </c>
      <c r="F12" s="709">
        <f t="shared" si="0"/>
        <v>5200</v>
      </c>
      <c r="G12" s="710">
        <v>1</v>
      </c>
      <c r="H12" s="709">
        <v>5200</v>
      </c>
      <c r="I12" s="709">
        <f t="shared" si="1"/>
        <v>5200</v>
      </c>
      <c r="J12" s="710">
        <f t="shared" si="2"/>
        <v>2</v>
      </c>
      <c r="K12" s="709">
        <v>4000</v>
      </c>
      <c r="L12" s="709">
        <f t="shared" si="3"/>
        <v>8000</v>
      </c>
      <c r="M12" s="709">
        <v>0</v>
      </c>
      <c r="N12" s="709">
        <v>10400</v>
      </c>
      <c r="O12" s="709">
        <f t="shared" si="4"/>
        <v>0</v>
      </c>
      <c r="P12" s="709">
        <v>0</v>
      </c>
      <c r="Q12" s="709">
        <v>18200</v>
      </c>
      <c r="R12" s="709">
        <f t="shared" si="5"/>
        <v>0</v>
      </c>
      <c r="S12" s="710">
        <v>1</v>
      </c>
      <c r="T12" s="709">
        <v>6500</v>
      </c>
      <c r="U12" s="709">
        <f t="shared" si="6"/>
        <v>6500</v>
      </c>
      <c r="V12" s="710">
        <v>0</v>
      </c>
      <c r="W12" s="709">
        <v>11050</v>
      </c>
      <c r="X12" s="709">
        <f t="shared" si="7"/>
        <v>0</v>
      </c>
    </row>
    <row r="13" spans="2:24" ht="14.1" customHeight="1" x14ac:dyDescent="0.25">
      <c r="B13" s="707">
        <v>8</v>
      </c>
      <c r="C13" s="708" t="s">
        <v>248</v>
      </c>
      <c r="D13" s="545">
        <v>1</v>
      </c>
      <c r="E13" s="709">
        <v>5200</v>
      </c>
      <c r="F13" s="709">
        <f t="shared" si="0"/>
        <v>5200</v>
      </c>
      <c r="G13" s="710">
        <v>1</v>
      </c>
      <c r="H13" s="709">
        <v>5200</v>
      </c>
      <c r="I13" s="709">
        <f t="shared" si="1"/>
        <v>5200</v>
      </c>
      <c r="J13" s="710">
        <f t="shared" si="2"/>
        <v>2</v>
      </c>
      <c r="K13" s="709">
        <v>4000</v>
      </c>
      <c r="L13" s="709">
        <f t="shared" si="3"/>
        <v>8000</v>
      </c>
      <c r="M13" s="709">
        <v>0</v>
      </c>
      <c r="N13" s="709">
        <v>10400</v>
      </c>
      <c r="O13" s="709">
        <f t="shared" si="4"/>
        <v>0</v>
      </c>
      <c r="P13" s="709">
        <v>0</v>
      </c>
      <c r="Q13" s="709">
        <v>18200</v>
      </c>
      <c r="R13" s="709">
        <f t="shared" si="5"/>
        <v>0</v>
      </c>
      <c r="S13" s="710">
        <v>1</v>
      </c>
      <c r="T13" s="709">
        <v>6500</v>
      </c>
      <c r="U13" s="709">
        <f t="shared" si="6"/>
        <v>6500</v>
      </c>
      <c r="V13" s="710">
        <v>0</v>
      </c>
      <c r="W13" s="709">
        <v>11050</v>
      </c>
      <c r="X13" s="709">
        <f t="shared" si="7"/>
        <v>0</v>
      </c>
    </row>
    <row r="14" spans="2:24" ht="14.1" customHeight="1" x14ac:dyDescent="0.25">
      <c r="B14" s="707">
        <v>9</v>
      </c>
      <c r="C14" s="708" t="s">
        <v>250</v>
      </c>
      <c r="D14" s="545">
        <v>1</v>
      </c>
      <c r="E14" s="709">
        <v>5200</v>
      </c>
      <c r="F14" s="709">
        <f t="shared" si="0"/>
        <v>5200</v>
      </c>
      <c r="G14" s="710">
        <v>1</v>
      </c>
      <c r="H14" s="709">
        <v>5200</v>
      </c>
      <c r="I14" s="709">
        <f t="shared" si="1"/>
        <v>5200</v>
      </c>
      <c r="J14" s="710">
        <f t="shared" si="2"/>
        <v>2</v>
      </c>
      <c r="K14" s="709">
        <v>4000</v>
      </c>
      <c r="L14" s="709">
        <f t="shared" si="3"/>
        <v>8000</v>
      </c>
      <c r="M14" s="709">
        <v>1</v>
      </c>
      <c r="N14" s="709">
        <v>10400</v>
      </c>
      <c r="O14" s="709">
        <f t="shared" si="4"/>
        <v>10400</v>
      </c>
      <c r="P14" s="709">
        <v>0</v>
      </c>
      <c r="Q14" s="709">
        <v>18200</v>
      </c>
      <c r="R14" s="709">
        <f t="shared" si="5"/>
        <v>0</v>
      </c>
      <c r="S14" s="710">
        <v>1</v>
      </c>
      <c r="T14" s="709">
        <v>6500</v>
      </c>
      <c r="U14" s="709">
        <f t="shared" si="6"/>
        <v>6500</v>
      </c>
      <c r="V14" s="710">
        <v>0</v>
      </c>
      <c r="W14" s="709">
        <v>11050</v>
      </c>
      <c r="X14" s="709">
        <f t="shared" si="7"/>
        <v>0</v>
      </c>
    </row>
    <row r="15" spans="2:24" ht="14.1" customHeight="1" x14ac:dyDescent="0.25">
      <c r="B15" s="707">
        <v>10</v>
      </c>
      <c r="C15" s="708" t="s">
        <v>251</v>
      </c>
      <c r="D15" s="545">
        <v>1</v>
      </c>
      <c r="E15" s="709">
        <v>5200</v>
      </c>
      <c r="F15" s="709">
        <f t="shared" si="0"/>
        <v>5200</v>
      </c>
      <c r="G15" s="710">
        <v>1</v>
      </c>
      <c r="H15" s="709">
        <v>5200</v>
      </c>
      <c r="I15" s="709">
        <f t="shared" si="1"/>
        <v>5200</v>
      </c>
      <c r="J15" s="710">
        <f t="shared" si="2"/>
        <v>2</v>
      </c>
      <c r="K15" s="709">
        <v>4000</v>
      </c>
      <c r="L15" s="709">
        <f t="shared" si="3"/>
        <v>8000</v>
      </c>
      <c r="M15" s="709">
        <v>1</v>
      </c>
      <c r="N15" s="709">
        <v>10400</v>
      </c>
      <c r="O15" s="709">
        <f t="shared" si="4"/>
        <v>10400</v>
      </c>
      <c r="P15" s="709">
        <v>0</v>
      </c>
      <c r="Q15" s="709">
        <v>18200</v>
      </c>
      <c r="R15" s="709">
        <f t="shared" si="5"/>
        <v>0</v>
      </c>
      <c r="S15" s="710">
        <v>1</v>
      </c>
      <c r="T15" s="709">
        <v>6500</v>
      </c>
      <c r="U15" s="709">
        <f t="shared" si="6"/>
        <v>6500</v>
      </c>
      <c r="V15" s="710">
        <v>0</v>
      </c>
      <c r="W15" s="709">
        <v>11050</v>
      </c>
      <c r="X15" s="709">
        <f t="shared" si="7"/>
        <v>0</v>
      </c>
    </row>
    <row r="16" spans="2:24" ht="14.1" customHeight="1" x14ac:dyDescent="0.25">
      <c r="B16" s="707">
        <v>11</v>
      </c>
      <c r="C16" s="708" t="s">
        <v>252</v>
      </c>
      <c r="D16" s="545">
        <v>1</v>
      </c>
      <c r="E16" s="709">
        <v>5200</v>
      </c>
      <c r="F16" s="709">
        <f t="shared" si="0"/>
        <v>5200</v>
      </c>
      <c r="G16" s="710">
        <v>1</v>
      </c>
      <c r="H16" s="709">
        <v>5200</v>
      </c>
      <c r="I16" s="709">
        <f t="shared" si="1"/>
        <v>5200</v>
      </c>
      <c r="J16" s="710">
        <f t="shared" si="2"/>
        <v>2</v>
      </c>
      <c r="K16" s="709">
        <v>4000</v>
      </c>
      <c r="L16" s="709">
        <f t="shared" si="3"/>
        <v>8000</v>
      </c>
      <c r="M16" s="709">
        <v>0</v>
      </c>
      <c r="N16" s="709">
        <v>10400</v>
      </c>
      <c r="O16" s="709">
        <f t="shared" si="4"/>
        <v>0</v>
      </c>
      <c r="P16" s="709">
        <v>0</v>
      </c>
      <c r="Q16" s="709">
        <v>18200</v>
      </c>
      <c r="R16" s="709">
        <f t="shared" si="5"/>
        <v>0</v>
      </c>
      <c r="S16" s="710">
        <v>1</v>
      </c>
      <c r="T16" s="709">
        <v>6500</v>
      </c>
      <c r="U16" s="709">
        <f t="shared" si="6"/>
        <v>6500</v>
      </c>
      <c r="V16" s="710">
        <v>0</v>
      </c>
      <c r="W16" s="709">
        <v>11050</v>
      </c>
      <c r="X16" s="709">
        <f t="shared" si="7"/>
        <v>0</v>
      </c>
    </row>
    <row r="17" spans="2:24" ht="14.1" customHeight="1" x14ac:dyDescent="0.25">
      <c r="B17" s="707">
        <v>12</v>
      </c>
      <c r="C17" s="708" t="s">
        <v>253</v>
      </c>
      <c r="D17" s="545">
        <v>1</v>
      </c>
      <c r="E17" s="709">
        <v>5200</v>
      </c>
      <c r="F17" s="709">
        <f t="shared" si="0"/>
        <v>5200</v>
      </c>
      <c r="G17" s="710">
        <v>1</v>
      </c>
      <c r="H17" s="709">
        <v>5200</v>
      </c>
      <c r="I17" s="709">
        <f t="shared" si="1"/>
        <v>5200</v>
      </c>
      <c r="J17" s="710">
        <f t="shared" si="2"/>
        <v>2</v>
      </c>
      <c r="K17" s="709">
        <v>4000</v>
      </c>
      <c r="L17" s="709">
        <f t="shared" si="3"/>
        <v>8000</v>
      </c>
      <c r="M17" s="709">
        <v>0</v>
      </c>
      <c r="N17" s="709">
        <v>10400</v>
      </c>
      <c r="O17" s="709">
        <f t="shared" si="4"/>
        <v>0</v>
      </c>
      <c r="P17" s="709">
        <v>0</v>
      </c>
      <c r="Q17" s="709">
        <v>18200</v>
      </c>
      <c r="R17" s="709">
        <f t="shared" si="5"/>
        <v>0</v>
      </c>
      <c r="S17" s="710">
        <v>1</v>
      </c>
      <c r="T17" s="709">
        <v>6500</v>
      </c>
      <c r="U17" s="709">
        <f t="shared" si="6"/>
        <v>6500</v>
      </c>
      <c r="V17" s="710">
        <v>0</v>
      </c>
      <c r="W17" s="709">
        <v>11050</v>
      </c>
      <c r="X17" s="709">
        <f t="shared" si="7"/>
        <v>0</v>
      </c>
    </row>
    <row r="18" spans="2:24" ht="14.1" customHeight="1" x14ac:dyDescent="0.25">
      <c r="B18" s="707">
        <v>13</v>
      </c>
      <c r="C18" s="711" t="s">
        <v>254</v>
      </c>
      <c r="D18" s="545">
        <v>1</v>
      </c>
      <c r="E18" s="709">
        <v>5200</v>
      </c>
      <c r="F18" s="709">
        <f t="shared" si="0"/>
        <v>5200</v>
      </c>
      <c r="G18" s="710">
        <v>1</v>
      </c>
      <c r="H18" s="709">
        <v>5200</v>
      </c>
      <c r="I18" s="709">
        <f t="shared" si="1"/>
        <v>5200</v>
      </c>
      <c r="J18" s="710">
        <f t="shared" si="2"/>
        <v>2</v>
      </c>
      <c r="K18" s="709">
        <v>4000</v>
      </c>
      <c r="L18" s="709">
        <f t="shared" si="3"/>
        <v>8000</v>
      </c>
      <c r="M18" s="709">
        <v>0</v>
      </c>
      <c r="N18" s="709">
        <v>10400</v>
      </c>
      <c r="O18" s="709">
        <f t="shared" si="4"/>
        <v>0</v>
      </c>
      <c r="P18" s="709">
        <v>0</v>
      </c>
      <c r="Q18" s="709">
        <v>18200</v>
      </c>
      <c r="R18" s="709">
        <f t="shared" si="5"/>
        <v>0</v>
      </c>
      <c r="S18" s="710">
        <v>1</v>
      </c>
      <c r="T18" s="709">
        <v>6500</v>
      </c>
      <c r="U18" s="709">
        <f t="shared" si="6"/>
        <v>6500</v>
      </c>
      <c r="V18" s="710">
        <v>0</v>
      </c>
      <c r="W18" s="709">
        <v>11050</v>
      </c>
      <c r="X18" s="709">
        <f t="shared" si="7"/>
        <v>0</v>
      </c>
    </row>
    <row r="19" spans="2:24" ht="14.1" customHeight="1" x14ac:dyDescent="0.25">
      <c r="B19" s="707">
        <v>14</v>
      </c>
      <c r="C19" s="708" t="s">
        <v>255</v>
      </c>
      <c r="D19" s="545">
        <v>1</v>
      </c>
      <c r="E19" s="709">
        <v>5200</v>
      </c>
      <c r="F19" s="709">
        <f t="shared" si="0"/>
        <v>5200</v>
      </c>
      <c r="G19" s="710">
        <v>1</v>
      </c>
      <c r="H19" s="709">
        <v>5200</v>
      </c>
      <c r="I19" s="709">
        <f t="shared" si="1"/>
        <v>5200</v>
      </c>
      <c r="J19" s="710">
        <f t="shared" si="2"/>
        <v>2</v>
      </c>
      <c r="K19" s="709">
        <v>4000</v>
      </c>
      <c r="L19" s="709">
        <f t="shared" si="3"/>
        <v>8000</v>
      </c>
      <c r="M19" s="709">
        <v>0</v>
      </c>
      <c r="N19" s="709">
        <v>10400</v>
      </c>
      <c r="O19" s="709">
        <f t="shared" si="4"/>
        <v>0</v>
      </c>
      <c r="P19" s="709">
        <v>0</v>
      </c>
      <c r="Q19" s="709">
        <v>18200</v>
      </c>
      <c r="R19" s="709">
        <f t="shared" si="5"/>
        <v>0</v>
      </c>
      <c r="S19" s="710">
        <v>1</v>
      </c>
      <c r="T19" s="709">
        <v>6500</v>
      </c>
      <c r="U19" s="709">
        <f t="shared" si="6"/>
        <v>6500</v>
      </c>
      <c r="V19" s="710">
        <v>0</v>
      </c>
      <c r="W19" s="709">
        <v>11050</v>
      </c>
      <c r="X19" s="709">
        <f t="shared" si="7"/>
        <v>0</v>
      </c>
    </row>
    <row r="20" spans="2:24" ht="14.1" customHeight="1" x14ac:dyDescent="0.25">
      <c r="B20" s="707">
        <v>15</v>
      </c>
      <c r="C20" s="708" t="s">
        <v>256</v>
      </c>
      <c r="D20" s="545">
        <v>1</v>
      </c>
      <c r="E20" s="709">
        <v>5200</v>
      </c>
      <c r="F20" s="709">
        <f t="shared" si="0"/>
        <v>5200</v>
      </c>
      <c r="G20" s="710">
        <v>1</v>
      </c>
      <c r="H20" s="709">
        <v>5200</v>
      </c>
      <c r="I20" s="709">
        <f t="shared" si="1"/>
        <v>5200</v>
      </c>
      <c r="J20" s="710">
        <f t="shared" si="2"/>
        <v>2</v>
      </c>
      <c r="K20" s="709">
        <v>4000</v>
      </c>
      <c r="L20" s="709">
        <f t="shared" si="3"/>
        <v>8000</v>
      </c>
      <c r="M20" s="709">
        <v>0</v>
      </c>
      <c r="N20" s="709">
        <v>10400</v>
      </c>
      <c r="O20" s="709">
        <f t="shared" si="4"/>
        <v>0</v>
      </c>
      <c r="P20" s="709">
        <v>0</v>
      </c>
      <c r="Q20" s="709">
        <v>18200</v>
      </c>
      <c r="R20" s="709">
        <f t="shared" si="5"/>
        <v>0</v>
      </c>
      <c r="S20" s="710">
        <v>1</v>
      </c>
      <c r="T20" s="709">
        <v>6500</v>
      </c>
      <c r="U20" s="709">
        <f t="shared" si="6"/>
        <v>6500</v>
      </c>
      <c r="V20" s="710">
        <v>0</v>
      </c>
      <c r="W20" s="709">
        <v>11050</v>
      </c>
      <c r="X20" s="709">
        <f t="shared" si="7"/>
        <v>0</v>
      </c>
    </row>
    <row r="21" spans="2:24" ht="14.1" customHeight="1" x14ac:dyDescent="0.25">
      <c r="B21" s="707">
        <v>16</v>
      </c>
      <c r="C21" s="708" t="s">
        <v>257</v>
      </c>
      <c r="D21" s="545">
        <v>1</v>
      </c>
      <c r="E21" s="709">
        <v>5200</v>
      </c>
      <c r="F21" s="709">
        <f t="shared" si="0"/>
        <v>5200</v>
      </c>
      <c r="G21" s="710">
        <v>1</v>
      </c>
      <c r="H21" s="709">
        <v>5200</v>
      </c>
      <c r="I21" s="709">
        <f t="shared" si="1"/>
        <v>5200</v>
      </c>
      <c r="J21" s="710">
        <f t="shared" si="2"/>
        <v>2</v>
      </c>
      <c r="K21" s="709">
        <v>4000</v>
      </c>
      <c r="L21" s="709">
        <f t="shared" si="3"/>
        <v>8000</v>
      </c>
      <c r="M21" s="709">
        <v>0</v>
      </c>
      <c r="N21" s="709">
        <v>10400</v>
      </c>
      <c r="O21" s="709">
        <f t="shared" si="4"/>
        <v>0</v>
      </c>
      <c r="P21" s="709">
        <v>0</v>
      </c>
      <c r="Q21" s="709">
        <v>18200</v>
      </c>
      <c r="R21" s="709">
        <f t="shared" si="5"/>
        <v>0</v>
      </c>
      <c r="S21" s="710">
        <v>1</v>
      </c>
      <c r="T21" s="709">
        <v>6500</v>
      </c>
      <c r="U21" s="709">
        <f t="shared" si="6"/>
        <v>6500</v>
      </c>
      <c r="V21" s="710">
        <v>0</v>
      </c>
      <c r="W21" s="709">
        <v>11050</v>
      </c>
      <c r="X21" s="709">
        <f t="shared" si="7"/>
        <v>0</v>
      </c>
    </row>
    <row r="22" spans="2:24" ht="14.1" customHeight="1" x14ac:dyDescent="0.25">
      <c r="B22" s="707">
        <v>17</v>
      </c>
      <c r="C22" s="708" t="s">
        <v>258</v>
      </c>
      <c r="D22" s="545">
        <v>1</v>
      </c>
      <c r="E22" s="709">
        <v>5200</v>
      </c>
      <c r="F22" s="709">
        <f t="shared" si="0"/>
        <v>5200</v>
      </c>
      <c r="G22" s="710">
        <v>1</v>
      </c>
      <c r="H22" s="709">
        <v>5200</v>
      </c>
      <c r="I22" s="709">
        <f t="shared" si="1"/>
        <v>5200</v>
      </c>
      <c r="J22" s="710">
        <f t="shared" si="2"/>
        <v>2</v>
      </c>
      <c r="K22" s="709">
        <v>4000</v>
      </c>
      <c r="L22" s="709">
        <f t="shared" si="3"/>
        <v>8000</v>
      </c>
      <c r="M22" s="709">
        <v>0</v>
      </c>
      <c r="N22" s="709">
        <v>10400</v>
      </c>
      <c r="O22" s="709">
        <f t="shared" si="4"/>
        <v>0</v>
      </c>
      <c r="P22" s="709">
        <v>0</v>
      </c>
      <c r="Q22" s="709">
        <v>18200</v>
      </c>
      <c r="R22" s="709">
        <f t="shared" si="5"/>
        <v>0</v>
      </c>
      <c r="S22" s="710">
        <v>1</v>
      </c>
      <c r="T22" s="709">
        <v>6500</v>
      </c>
      <c r="U22" s="709">
        <f t="shared" si="6"/>
        <v>6500</v>
      </c>
      <c r="V22" s="710">
        <v>0</v>
      </c>
      <c r="W22" s="709">
        <v>11050</v>
      </c>
      <c r="X22" s="709">
        <f t="shared" si="7"/>
        <v>0</v>
      </c>
    </row>
    <row r="23" spans="2:24" ht="14.1" customHeight="1" x14ac:dyDescent="0.25">
      <c r="B23" s="707">
        <v>18</v>
      </c>
      <c r="C23" s="708" t="s">
        <v>259</v>
      </c>
      <c r="D23" s="545">
        <v>1</v>
      </c>
      <c r="E23" s="709">
        <v>5200</v>
      </c>
      <c r="F23" s="709">
        <f t="shared" si="0"/>
        <v>5200</v>
      </c>
      <c r="G23" s="710">
        <v>1</v>
      </c>
      <c r="H23" s="709">
        <v>5200</v>
      </c>
      <c r="I23" s="709">
        <f t="shared" si="1"/>
        <v>5200</v>
      </c>
      <c r="J23" s="710">
        <f t="shared" si="2"/>
        <v>2</v>
      </c>
      <c r="K23" s="709">
        <v>4000</v>
      </c>
      <c r="L23" s="709">
        <f t="shared" si="3"/>
        <v>8000</v>
      </c>
      <c r="M23" s="709">
        <v>0</v>
      </c>
      <c r="N23" s="709">
        <v>10400</v>
      </c>
      <c r="O23" s="709">
        <f t="shared" si="4"/>
        <v>0</v>
      </c>
      <c r="P23" s="709">
        <v>0</v>
      </c>
      <c r="Q23" s="709">
        <v>18200</v>
      </c>
      <c r="R23" s="709">
        <f t="shared" si="5"/>
        <v>0</v>
      </c>
      <c r="S23" s="710">
        <v>1</v>
      </c>
      <c r="T23" s="709">
        <v>6500</v>
      </c>
      <c r="U23" s="709">
        <f t="shared" si="6"/>
        <v>6500</v>
      </c>
      <c r="V23" s="710">
        <v>0</v>
      </c>
      <c r="W23" s="709">
        <v>11050</v>
      </c>
      <c r="X23" s="709">
        <f t="shared" si="7"/>
        <v>0</v>
      </c>
    </row>
    <row r="24" spans="2:24" ht="14.1" customHeight="1" x14ac:dyDescent="0.25">
      <c r="B24" s="707">
        <v>19</v>
      </c>
      <c r="C24" s="708" t="s">
        <v>260</v>
      </c>
      <c r="D24" s="545">
        <v>1</v>
      </c>
      <c r="E24" s="709">
        <v>5200</v>
      </c>
      <c r="F24" s="709">
        <f t="shared" si="0"/>
        <v>5200</v>
      </c>
      <c r="G24" s="710">
        <v>1</v>
      </c>
      <c r="H24" s="709">
        <v>5200</v>
      </c>
      <c r="I24" s="709">
        <f t="shared" si="1"/>
        <v>5200</v>
      </c>
      <c r="J24" s="710">
        <f t="shared" si="2"/>
        <v>2</v>
      </c>
      <c r="K24" s="709">
        <v>4000</v>
      </c>
      <c r="L24" s="709">
        <f t="shared" si="3"/>
        <v>8000</v>
      </c>
      <c r="M24" s="709">
        <v>0</v>
      </c>
      <c r="N24" s="709">
        <v>10400</v>
      </c>
      <c r="O24" s="709">
        <f t="shared" si="4"/>
        <v>0</v>
      </c>
      <c r="P24" s="709">
        <v>0</v>
      </c>
      <c r="Q24" s="709">
        <v>18200</v>
      </c>
      <c r="R24" s="709">
        <f t="shared" si="5"/>
        <v>0</v>
      </c>
      <c r="S24" s="710">
        <v>1</v>
      </c>
      <c r="T24" s="709">
        <v>6500</v>
      </c>
      <c r="U24" s="709">
        <f t="shared" si="6"/>
        <v>6500</v>
      </c>
      <c r="V24" s="710">
        <v>0</v>
      </c>
      <c r="W24" s="709">
        <v>11050</v>
      </c>
      <c r="X24" s="709">
        <f t="shared" si="7"/>
        <v>0</v>
      </c>
    </row>
    <row r="25" spans="2:24" ht="14.1" customHeight="1" x14ac:dyDescent="0.25">
      <c r="B25" s="707">
        <v>20</v>
      </c>
      <c r="C25" s="708" t="s">
        <v>261</v>
      </c>
      <c r="D25" s="545">
        <v>1</v>
      </c>
      <c r="E25" s="709">
        <v>5200</v>
      </c>
      <c r="F25" s="709">
        <f t="shared" si="0"/>
        <v>5200</v>
      </c>
      <c r="G25" s="710">
        <v>1</v>
      </c>
      <c r="H25" s="709">
        <v>5200</v>
      </c>
      <c r="I25" s="709">
        <f t="shared" si="1"/>
        <v>5200</v>
      </c>
      <c r="J25" s="710">
        <f t="shared" si="2"/>
        <v>2</v>
      </c>
      <c r="K25" s="709">
        <v>4000</v>
      </c>
      <c r="L25" s="709">
        <f t="shared" si="3"/>
        <v>8000</v>
      </c>
      <c r="M25" s="709">
        <v>1</v>
      </c>
      <c r="N25" s="709">
        <v>10400</v>
      </c>
      <c r="O25" s="709">
        <f t="shared" si="4"/>
        <v>10400</v>
      </c>
      <c r="P25" s="709">
        <v>0</v>
      </c>
      <c r="Q25" s="709">
        <v>18200</v>
      </c>
      <c r="R25" s="709">
        <f t="shared" si="5"/>
        <v>0</v>
      </c>
      <c r="S25" s="710">
        <v>1</v>
      </c>
      <c r="T25" s="709">
        <v>6500</v>
      </c>
      <c r="U25" s="709">
        <f t="shared" si="6"/>
        <v>6500</v>
      </c>
      <c r="V25" s="710">
        <v>0</v>
      </c>
      <c r="W25" s="709">
        <v>11050</v>
      </c>
      <c r="X25" s="709">
        <f t="shared" si="7"/>
        <v>0</v>
      </c>
    </row>
    <row r="26" spans="2:24" ht="14.1" customHeight="1" x14ac:dyDescent="0.25">
      <c r="B26" s="707">
        <v>21</v>
      </c>
      <c r="C26" s="708" t="s">
        <v>262</v>
      </c>
      <c r="D26" s="545">
        <v>1</v>
      </c>
      <c r="E26" s="709">
        <v>5200</v>
      </c>
      <c r="F26" s="709">
        <f t="shared" si="0"/>
        <v>5200</v>
      </c>
      <c r="G26" s="710">
        <v>1</v>
      </c>
      <c r="H26" s="709">
        <v>5200</v>
      </c>
      <c r="I26" s="709">
        <f t="shared" si="1"/>
        <v>5200</v>
      </c>
      <c r="J26" s="710">
        <f t="shared" si="2"/>
        <v>2</v>
      </c>
      <c r="K26" s="709">
        <v>4000</v>
      </c>
      <c r="L26" s="709">
        <f t="shared" si="3"/>
        <v>8000</v>
      </c>
      <c r="M26" s="709">
        <v>1</v>
      </c>
      <c r="N26" s="709">
        <v>10400</v>
      </c>
      <c r="O26" s="709">
        <f t="shared" si="4"/>
        <v>10400</v>
      </c>
      <c r="P26" s="709">
        <v>0</v>
      </c>
      <c r="Q26" s="709">
        <v>18200</v>
      </c>
      <c r="R26" s="709">
        <f t="shared" si="5"/>
        <v>0</v>
      </c>
      <c r="S26" s="710">
        <v>1</v>
      </c>
      <c r="T26" s="709">
        <v>6500</v>
      </c>
      <c r="U26" s="709">
        <f t="shared" si="6"/>
        <v>6500</v>
      </c>
      <c r="V26" s="710">
        <v>0</v>
      </c>
      <c r="W26" s="709">
        <v>11050</v>
      </c>
      <c r="X26" s="709">
        <f t="shared" si="7"/>
        <v>0</v>
      </c>
    </row>
    <row r="27" spans="2:24" ht="14.1" customHeight="1" x14ac:dyDescent="0.25">
      <c r="B27" s="707">
        <v>22</v>
      </c>
      <c r="C27" s="708" t="s">
        <v>263</v>
      </c>
      <c r="D27" s="545">
        <v>1</v>
      </c>
      <c r="E27" s="709">
        <v>5200</v>
      </c>
      <c r="F27" s="709">
        <f t="shared" si="0"/>
        <v>5200</v>
      </c>
      <c r="G27" s="710">
        <v>1</v>
      </c>
      <c r="H27" s="709">
        <v>5200</v>
      </c>
      <c r="I27" s="709">
        <f t="shared" si="1"/>
        <v>5200</v>
      </c>
      <c r="J27" s="710">
        <f t="shared" si="2"/>
        <v>2</v>
      </c>
      <c r="K27" s="709">
        <v>4000</v>
      </c>
      <c r="L27" s="709">
        <f t="shared" si="3"/>
        <v>8000</v>
      </c>
      <c r="M27" s="709">
        <v>0</v>
      </c>
      <c r="N27" s="709">
        <v>10400</v>
      </c>
      <c r="O27" s="709">
        <f t="shared" si="4"/>
        <v>0</v>
      </c>
      <c r="P27" s="709">
        <v>0</v>
      </c>
      <c r="Q27" s="709">
        <v>18200</v>
      </c>
      <c r="R27" s="709">
        <f t="shared" si="5"/>
        <v>0</v>
      </c>
      <c r="S27" s="710">
        <v>1</v>
      </c>
      <c r="T27" s="709">
        <v>6500</v>
      </c>
      <c r="U27" s="709">
        <f t="shared" si="6"/>
        <v>6500</v>
      </c>
      <c r="V27" s="710">
        <v>0</v>
      </c>
      <c r="W27" s="709">
        <v>11050</v>
      </c>
      <c r="X27" s="709">
        <f t="shared" si="7"/>
        <v>0</v>
      </c>
    </row>
    <row r="28" spans="2:24" ht="14.1" customHeight="1" x14ac:dyDescent="0.25">
      <c r="B28" s="707">
        <v>23</v>
      </c>
      <c r="C28" s="708" t="s">
        <v>264</v>
      </c>
      <c r="D28" s="545">
        <v>1</v>
      </c>
      <c r="E28" s="709">
        <v>5200</v>
      </c>
      <c r="F28" s="709">
        <f t="shared" si="0"/>
        <v>5200</v>
      </c>
      <c r="G28" s="710">
        <v>1</v>
      </c>
      <c r="H28" s="709">
        <v>5200</v>
      </c>
      <c r="I28" s="709">
        <f t="shared" si="1"/>
        <v>5200</v>
      </c>
      <c r="J28" s="710">
        <f t="shared" si="2"/>
        <v>2</v>
      </c>
      <c r="K28" s="709">
        <v>4000</v>
      </c>
      <c r="L28" s="709">
        <f t="shared" si="3"/>
        <v>8000</v>
      </c>
      <c r="M28" s="709">
        <v>0</v>
      </c>
      <c r="N28" s="709">
        <v>10400</v>
      </c>
      <c r="O28" s="709">
        <f t="shared" si="4"/>
        <v>0</v>
      </c>
      <c r="P28" s="709">
        <v>0</v>
      </c>
      <c r="Q28" s="709">
        <v>18200</v>
      </c>
      <c r="R28" s="709">
        <f t="shared" si="5"/>
        <v>0</v>
      </c>
      <c r="S28" s="710">
        <v>1</v>
      </c>
      <c r="T28" s="709">
        <v>6500</v>
      </c>
      <c r="U28" s="709">
        <f t="shared" si="6"/>
        <v>6500</v>
      </c>
      <c r="V28" s="710">
        <v>0</v>
      </c>
      <c r="W28" s="709">
        <v>11050</v>
      </c>
      <c r="X28" s="709">
        <f t="shared" si="7"/>
        <v>0</v>
      </c>
    </row>
    <row r="29" spans="2:24" ht="14.1" customHeight="1" x14ac:dyDescent="0.25">
      <c r="B29" s="707">
        <v>24</v>
      </c>
      <c r="C29" s="708" t="s">
        <v>266</v>
      </c>
      <c r="D29" s="545">
        <v>1</v>
      </c>
      <c r="E29" s="709">
        <v>5200</v>
      </c>
      <c r="F29" s="709">
        <f t="shared" si="0"/>
        <v>5200</v>
      </c>
      <c r="G29" s="710">
        <v>1</v>
      </c>
      <c r="H29" s="709">
        <v>5200</v>
      </c>
      <c r="I29" s="709">
        <f t="shared" si="1"/>
        <v>5200</v>
      </c>
      <c r="J29" s="710">
        <f t="shared" si="2"/>
        <v>2</v>
      </c>
      <c r="K29" s="709">
        <v>4000</v>
      </c>
      <c r="L29" s="709">
        <f t="shared" si="3"/>
        <v>8000</v>
      </c>
      <c r="M29" s="709">
        <v>0</v>
      </c>
      <c r="N29" s="709">
        <v>10400</v>
      </c>
      <c r="O29" s="709">
        <f t="shared" si="4"/>
        <v>0</v>
      </c>
      <c r="P29" s="709">
        <v>0</v>
      </c>
      <c r="Q29" s="709">
        <v>18200</v>
      </c>
      <c r="R29" s="709">
        <f t="shared" si="5"/>
        <v>0</v>
      </c>
      <c r="S29" s="710">
        <v>1</v>
      </c>
      <c r="T29" s="709">
        <v>6500</v>
      </c>
      <c r="U29" s="709">
        <f t="shared" si="6"/>
        <v>6500</v>
      </c>
      <c r="V29" s="710">
        <v>0</v>
      </c>
      <c r="W29" s="709">
        <v>11050</v>
      </c>
      <c r="X29" s="709">
        <f t="shared" si="7"/>
        <v>0</v>
      </c>
    </row>
    <row r="30" spans="2:24" ht="14.1" customHeight="1" x14ac:dyDescent="0.25">
      <c r="B30" s="707">
        <v>25</v>
      </c>
      <c r="C30" s="708" t="s">
        <v>267</v>
      </c>
      <c r="D30" s="545">
        <v>1</v>
      </c>
      <c r="E30" s="709">
        <v>5200</v>
      </c>
      <c r="F30" s="709">
        <f t="shared" si="0"/>
        <v>5200</v>
      </c>
      <c r="G30" s="710">
        <v>1</v>
      </c>
      <c r="H30" s="709">
        <v>5200</v>
      </c>
      <c r="I30" s="709">
        <f t="shared" si="1"/>
        <v>5200</v>
      </c>
      <c r="J30" s="710">
        <f t="shared" si="2"/>
        <v>2</v>
      </c>
      <c r="K30" s="709">
        <v>4000</v>
      </c>
      <c r="L30" s="709">
        <f t="shared" si="3"/>
        <v>8000</v>
      </c>
      <c r="M30" s="709">
        <v>1</v>
      </c>
      <c r="N30" s="709">
        <v>10400</v>
      </c>
      <c r="O30" s="709">
        <f t="shared" si="4"/>
        <v>10400</v>
      </c>
      <c r="P30" s="709">
        <v>0</v>
      </c>
      <c r="Q30" s="709">
        <v>18200</v>
      </c>
      <c r="R30" s="709">
        <f t="shared" si="5"/>
        <v>0</v>
      </c>
      <c r="S30" s="710">
        <v>1</v>
      </c>
      <c r="T30" s="709">
        <v>6500</v>
      </c>
      <c r="U30" s="709">
        <f t="shared" si="6"/>
        <v>6500</v>
      </c>
      <c r="V30" s="710">
        <v>0</v>
      </c>
      <c r="W30" s="709">
        <v>11050</v>
      </c>
      <c r="X30" s="709">
        <f t="shared" si="7"/>
        <v>0</v>
      </c>
    </row>
    <row r="31" spans="2:24" ht="14.1" customHeight="1" x14ac:dyDescent="0.25">
      <c r="B31" s="707">
        <v>26</v>
      </c>
      <c r="C31" s="708" t="s">
        <v>268</v>
      </c>
      <c r="D31" s="545">
        <v>1</v>
      </c>
      <c r="E31" s="709">
        <v>5200</v>
      </c>
      <c r="F31" s="709">
        <f t="shared" si="0"/>
        <v>5200</v>
      </c>
      <c r="G31" s="710">
        <v>1</v>
      </c>
      <c r="H31" s="709">
        <v>5200</v>
      </c>
      <c r="I31" s="709">
        <f t="shared" si="1"/>
        <v>5200</v>
      </c>
      <c r="J31" s="710">
        <f t="shared" si="2"/>
        <v>2</v>
      </c>
      <c r="K31" s="709">
        <v>4000</v>
      </c>
      <c r="L31" s="709">
        <f t="shared" si="3"/>
        <v>8000</v>
      </c>
      <c r="M31" s="709">
        <v>1</v>
      </c>
      <c r="N31" s="709">
        <v>10400</v>
      </c>
      <c r="O31" s="709">
        <f t="shared" si="4"/>
        <v>10400</v>
      </c>
      <c r="P31" s="709">
        <v>0</v>
      </c>
      <c r="Q31" s="709">
        <v>18200</v>
      </c>
      <c r="R31" s="709">
        <f t="shared" si="5"/>
        <v>0</v>
      </c>
      <c r="S31" s="710">
        <v>1</v>
      </c>
      <c r="T31" s="709">
        <v>6500</v>
      </c>
      <c r="U31" s="709">
        <f t="shared" si="6"/>
        <v>6500</v>
      </c>
      <c r="V31" s="710">
        <v>0</v>
      </c>
      <c r="W31" s="709">
        <v>11050</v>
      </c>
      <c r="X31" s="709">
        <f t="shared" si="7"/>
        <v>0</v>
      </c>
    </row>
    <row r="32" spans="2:24" ht="14.1" customHeight="1" x14ac:dyDescent="0.25">
      <c r="B32" s="707">
        <v>27</v>
      </c>
      <c r="C32" s="708" t="s">
        <v>269</v>
      </c>
      <c r="D32" s="545">
        <v>1</v>
      </c>
      <c r="E32" s="709">
        <v>5200</v>
      </c>
      <c r="F32" s="709">
        <f t="shared" si="0"/>
        <v>5200</v>
      </c>
      <c r="G32" s="710">
        <v>1</v>
      </c>
      <c r="H32" s="709">
        <v>5200</v>
      </c>
      <c r="I32" s="709">
        <f t="shared" si="1"/>
        <v>5200</v>
      </c>
      <c r="J32" s="710">
        <f t="shared" si="2"/>
        <v>2</v>
      </c>
      <c r="K32" s="709">
        <v>4000</v>
      </c>
      <c r="L32" s="709">
        <f t="shared" si="3"/>
        <v>8000</v>
      </c>
      <c r="M32" s="709">
        <v>1</v>
      </c>
      <c r="N32" s="709">
        <v>10400</v>
      </c>
      <c r="O32" s="709">
        <f t="shared" si="4"/>
        <v>10400</v>
      </c>
      <c r="P32" s="709">
        <v>0</v>
      </c>
      <c r="Q32" s="709">
        <v>18200</v>
      </c>
      <c r="R32" s="709">
        <f t="shared" si="5"/>
        <v>0</v>
      </c>
      <c r="S32" s="710">
        <v>1</v>
      </c>
      <c r="T32" s="709">
        <v>6500</v>
      </c>
      <c r="U32" s="709">
        <f t="shared" si="6"/>
        <v>6500</v>
      </c>
      <c r="V32" s="710">
        <v>0</v>
      </c>
      <c r="W32" s="709">
        <v>11050</v>
      </c>
      <c r="X32" s="709">
        <f t="shared" si="7"/>
        <v>0</v>
      </c>
    </row>
    <row r="33" spans="2:24" ht="14.1" customHeight="1" x14ac:dyDescent="0.25">
      <c r="B33" s="707">
        <v>28</v>
      </c>
      <c r="C33" s="708" t="s">
        <v>270</v>
      </c>
      <c r="D33" s="545">
        <v>1</v>
      </c>
      <c r="E33" s="709">
        <v>5200</v>
      </c>
      <c r="F33" s="709">
        <f t="shared" si="0"/>
        <v>5200</v>
      </c>
      <c r="G33" s="710">
        <v>1</v>
      </c>
      <c r="H33" s="709">
        <v>5200</v>
      </c>
      <c r="I33" s="709">
        <f t="shared" si="1"/>
        <v>5200</v>
      </c>
      <c r="J33" s="710">
        <f t="shared" si="2"/>
        <v>2</v>
      </c>
      <c r="K33" s="709">
        <v>4000</v>
      </c>
      <c r="L33" s="709">
        <f t="shared" si="3"/>
        <v>8000</v>
      </c>
      <c r="M33" s="709">
        <v>0</v>
      </c>
      <c r="N33" s="709">
        <v>10400</v>
      </c>
      <c r="O33" s="709">
        <f t="shared" si="4"/>
        <v>0</v>
      </c>
      <c r="P33" s="709">
        <v>0</v>
      </c>
      <c r="Q33" s="709">
        <v>18200</v>
      </c>
      <c r="R33" s="709">
        <f t="shared" si="5"/>
        <v>0</v>
      </c>
      <c r="S33" s="710">
        <v>1</v>
      </c>
      <c r="T33" s="709">
        <v>6500</v>
      </c>
      <c r="U33" s="709">
        <f t="shared" si="6"/>
        <v>6500</v>
      </c>
      <c r="V33" s="710">
        <v>0</v>
      </c>
      <c r="W33" s="709">
        <v>11050</v>
      </c>
      <c r="X33" s="709">
        <f t="shared" si="7"/>
        <v>0</v>
      </c>
    </row>
    <row r="34" spans="2:24" ht="14.1" customHeight="1" x14ac:dyDescent="0.25">
      <c r="B34" s="707">
        <v>29</v>
      </c>
      <c r="C34" s="708" t="s">
        <v>271</v>
      </c>
      <c r="D34" s="545">
        <v>1</v>
      </c>
      <c r="E34" s="709">
        <v>5200</v>
      </c>
      <c r="F34" s="709">
        <f t="shared" si="0"/>
        <v>5200</v>
      </c>
      <c r="G34" s="710">
        <v>1</v>
      </c>
      <c r="H34" s="709">
        <v>5200</v>
      </c>
      <c r="I34" s="709">
        <f t="shared" si="1"/>
        <v>5200</v>
      </c>
      <c r="J34" s="710">
        <f t="shared" si="2"/>
        <v>2</v>
      </c>
      <c r="K34" s="709">
        <v>4000</v>
      </c>
      <c r="L34" s="709">
        <f t="shared" si="3"/>
        <v>8000</v>
      </c>
      <c r="M34" s="709">
        <v>0</v>
      </c>
      <c r="N34" s="709">
        <v>10400</v>
      </c>
      <c r="O34" s="709">
        <f t="shared" si="4"/>
        <v>0</v>
      </c>
      <c r="P34" s="709">
        <v>0</v>
      </c>
      <c r="Q34" s="709">
        <v>18200</v>
      </c>
      <c r="R34" s="709">
        <f t="shared" si="5"/>
        <v>0</v>
      </c>
      <c r="S34" s="710">
        <v>1</v>
      </c>
      <c r="T34" s="709">
        <v>6500</v>
      </c>
      <c r="U34" s="709">
        <f t="shared" si="6"/>
        <v>6500</v>
      </c>
      <c r="V34" s="710">
        <v>0</v>
      </c>
      <c r="W34" s="709">
        <v>11050</v>
      </c>
      <c r="X34" s="709">
        <f t="shared" si="7"/>
        <v>0</v>
      </c>
    </row>
    <row r="35" spans="2:24" ht="14.1" customHeight="1" x14ac:dyDescent="0.25">
      <c r="B35" s="707">
        <v>30</v>
      </c>
      <c r="C35" s="708" t="s">
        <v>272</v>
      </c>
      <c r="D35" s="545">
        <v>1</v>
      </c>
      <c r="E35" s="709">
        <v>5200</v>
      </c>
      <c r="F35" s="709">
        <f t="shared" si="0"/>
        <v>5200</v>
      </c>
      <c r="G35" s="710">
        <v>1</v>
      </c>
      <c r="H35" s="709">
        <v>5200</v>
      </c>
      <c r="I35" s="709">
        <f t="shared" si="1"/>
        <v>5200</v>
      </c>
      <c r="J35" s="710">
        <f t="shared" si="2"/>
        <v>2</v>
      </c>
      <c r="K35" s="709">
        <v>4000</v>
      </c>
      <c r="L35" s="709">
        <f t="shared" si="3"/>
        <v>8000</v>
      </c>
      <c r="M35" s="709">
        <v>0</v>
      </c>
      <c r="N35" s="709">
        <v>10400</v>
      </c>
      <c r="O35" s="709">
        <f t="shared" si="4"/>
        <v>0</v>
      </c>
      <c r="P35" s="709">
        <v>0</v>
      </c>
      <c r="Q35" s="709">
        <v>18200</v>
      </c>
      <c r="R35" s="709">
        <f t="shared" si="5"/>
        <v>0</v>
      </c>
      <c r="S35" s="710">
        <v>1</v>
      </c>
      <c r="T35" s="709">
        <v>6500</v>
      </c>
      <c r="U35" s="709">
        <f t="shared" si="6"/>
        <v>6500</v>
      </c>
      <c r="V35" s="710">
        <v>0</v>
      </c>
      <c r="W35" s="709">
        <v>11050</v>
      </c>
      <c r="X35" s="709">
        <f t="shared" si="7"/>
        <v>0</v>
      </c>
    </row>
    <row r="36" spans="2:24" ht="14.1" customHeight="1" x14ac:dyDescent="0.25">
      <c r="B36" s="707">
        <v>31</v>
      </c>
      <c r="C36" s="708" t="s">
        <v>273</v>
      </c>
      <c r="D36" s="545">
        <v>1</v>
      </c>
      <c r="E36" s="709">
        <v>5200</v>
      </c>
      <c r="F36" s="709">
        <f t="shared" si="0"/>
        <v>5200</v>
      </c>
      <c r="G36" s="710">
        <v>1</v>
      </c>
      <c r="H36" s="709">
        <v>5200</v>
      </c>
      <c r="I36" s="709">
        <f t="shared" si="1"/>
        <v>5200</v>
      </c>
      <c r="J36" s="710">
        <f t="shared" si="2"/>
        <v>2</v>
      </c>
      <c r="K36" s="709">
        <v>4000</v>
      </c>
      <c r="L36" s="709">
        <f t="shared" si="3"/>
        <v>8000</v>
      </c>
      <c r="M36" s="709">
        <v>1</v>
      </c>
      <c r="N36" s="709">
        <v>10400</v>
      </c>
      <c r="O36" s="709">
        <f t="shared" si="4"/>
        <v>10400</v>
      </c>
      <c r="P36" s="709">
        <v>0</v>
      </c>
      <c r="Q36" s="709">
        <v>18200</v>
      </c>
      <c r="R36" s="709">
        <f t="shared" si="5"/>
        <v>0</v>
      </c>
      <c r="S36" s="710">
        <v>1</v>
      </c>
      <c r="T36" s="709">
        <v>6500</v>
      </c>
      <c r="U36" s="709">
        <f t="shared" si="6"/>
        <v>6500</v>
      </c>
      <c r="V36" s="710">
        <v>0</v>
      </c>
      <c r="W36" s="709">
        <v>11050</v>
      </c>
      <c r="X36" s="709">
        <f t="shared" si="7"/>
        <v>0</v>
      </c>
    </row>
    <row r="37" spans="2:24" ht="14.1" customHeight="1" x14ac:dyDescent="0.25">
      <c r="B37" s="707">
        <v>32</v>
      </c>
      <c r="C37" s="708" t="s">
        <v>274</v>
      </c>
      <c r="D37" s="545">
        <v>1</v>
      </c>
      <c r="E37" s="709">
        <v>5200</v>
      </c>
      <c r="F37" s="709">
        <f t="shared" si="0"/>
        <v>5200</v>
      </c>
      <c r="G37" s="710">
        <v>1</v>
      </c>
      <c r="H37" s="709">
        <v>5200</v>
      </c>
      <c r="I37" s="709">
        <f t="shared" si="1"/>
        <v>5200</v>
      </c>
      <c r="J37" s="710">
        <f t="shared" si="2"/>
        <v>2</v>
      </c>
      <c r="K37" s="709">
        <v>4000</v>
      </c>
      <c r="L37" s="709">
        <f t="shared" si="3"/>
        <v>8000</v>
      </c>
      <c r="M37" s="709">
        <v>1</v>
      </c>
      <c r="N37" s="709">
        <v>10400</v>
      </c>
      <c r="O37" s="709">
        <f t="shared" si="4"/>
        <v>10400</v>
      </c>
      <c r="P37" s="709">
        <v>0</v>
      </c>
      <c r="Q37" s="709">
        <v>18200</v>
      </c>
      <c r="R37" s="709">
        <f t="shared" si="5"/>
        <v>0</v>
      </c>
      <c r="S37" s="710">
        <v>1</v>
      </c>
      <c r="T37" s="709">
        <v>6500</v>
      </c>
      <c r="U37" s="709">
        <f t="shared" si="6"/>
        <v>6500</v>
      </c>
      <c r="V37" s="710">
        <v>0</v>
      </c>
      <c r="W37" s="709">
        <v>11050</v>
      </c>
      <c r="X37" s="709">
        <f t="shared" si="7"/>
        <v>0</v>
      </c>
    </row>
    <row r="38" spans="2:24" ht="14.1" customHeight="1" x14ac:dyDescent="0.25">
      <c r="B38" s="707">
        <v>33</v>
      </c>
      <c r="C38" s="708" t="s">
        <v>275</v>
      </c>
      <c r="D38" s="545">
        <v>1</v>
      </c>
      <c r="E38" s="709">
        <v>5200</v>
      </c>
      <c r="F38" s="709">
        <f t="shared" si="0"/>
        <v>5200</v>
      </c>
      <c r="G38" s="710">
        <v>1</v>
      </c>
      <c r="H38" s="709">
        <v>5200</v>
      </c>
      <c r="I38" s="709">
        <f t="shared" si="1"/>
        <v>5200</v>
      </c>
      <c r="J38" s="710">
        <f t="shared" si="2"/>
        <v>2</v>
      </c>
      <c r="K38" s="709">
        <v>4000</v>
      </c>
      <c r="L38" s="709">
        <f t="shared" si="3"/>
        <v>8000</v>
      </c>
      <c r="M38" s="709">
        <v>1</v>
      </c>
      <c r="N38" s="709">
        <v>10400</v>
      </c>
      <c r="O38" s="709">
        <f t="shared" si="4"/>
        <v>10400</v>
      </c>
      <c r="P38" s="709">
        <v>0</v>
      </c>
      <c r="Q38" s="709">
        <v>18200</v>
      </c>
      <c r="R38" s="709">
        <f t="shared" si="5"/>
        <v>0</v>
      </c>
      <c r="S38" s="710">
        <v>1</v>
      </c>
      <c r="T38" s="709">
        <v>6500</v>
      </c>
      <c r="U38" s="709">
        <f t="shared" si="6"/>
        <v>6500</v>
      </c>
      <c r="V38" s="710">
        <v>0</v>
      </c>
      <c r="W38" s="709">
        <v>11050</v>
      </c>
      <c r="X38" s="709">
        <f t="shared" si="7"/>
        <v>0</v>
      </c>
    </row>
    <row r="39" spans="2:24" ht="14.1" customHeight="1" x14ac:dyDescent="0.25">
      <c r="B39" s="707">
        <v>34</v>
      </c>
      <c r="C39" s="708" t="s">
        <v>296</v>
      </c>
      <c r="D39" s="545">
        <v>6</v>
      </c>
      <c r="E39" s="709">
        <v>5200</v>
      </c>
      <c r="F39" s="709">
        <f t="shared" si="0"/>
        <v>31200</v>
      </c>
      <c r="G39" s="710">
        <v>6</v>
      </c>
      <c r="H39" s="709">
        <v>5200</v>
      </c>
      <c r="I39" s="709">
        <f t="shared" si="1"/>
        <v>31200</v>
      </c>
      <c r="J39" s="710">
        <f t="shared" si="2"/>
        <v>12</v>
      </c>
      <c r="K39" s="709">
        <v>4000</v>
      </c>
      <c r="L39" s="709">
        <f t="shared" si="3"/>
        <v>48000</v>
      </c>
      <c r="M39" s="709">
        <v>3</v>
      </c>
      <c r="N39" s="709">
        <v>10400</v>
      </c>
      <c r="O39" s="709">
        <f t="shared" si="4"/>
        <v>31200</v>
      </c>
      <c r="P39" s="709">
        <v>0</v>
      </c>
      <c r="Q39" s="709">
        <v>18200</v>
      </c>
      <c r="R39" s="709">
        <f t="shared" si="5"/>
        <v>0</v>
      </c>
      <c r="S39" s="710">
        <v>6</v>
      </c>
      <c r="T39" s="709">
        <v>6500</v>
      </c>
      <c r="U39" s="709">
        <f t="shared" si="6"/>
        <v>39000</v>
      </c>
      <c r="V39" s="710">
        <v>0</v>
      </c>
      <c r="W39" s="709">
        <v>11050</v>
      </c>
      <c r="X39" s="709">
        <f t="shared" si="7"/>
        <v>0</v>
      </c>
    </row>
    <row r="40" spans="2:24" ht="14.1" customHeight="1" x14ac:dyDescent="0.25">
      <c r="B40" s="707">
        <v>35</v>
      </c>
      <c r="C40" s="708" t="s">
        <v>277</v>
      </c>
      <c r="D40" s="545">
        <v>6</v>
      </c>
      <c r="E40" s="709">
        <v>5200</v>
      </c>
      <c r="F40" s="709">
        <f t="shared" si="0"/>
        <v>31200</v>
      </c>
      <c r="G40" s="710">
        <v>6</v>
      </c>
      <c r="H40" s="709">
        <v>5200</v>
      </c>
      <c r="I40" s="709">
        <f t="shared" si="1"/>
        <v>31200</v>
      </c>
      <c r="J40" s="710">
        <f t="shared" si="2"/>
        <v>12</v>
      </c>
      <c r="K40" s="709">
        <v>4000</v>
      </c>
      <c r="L40" s="709">
        <f t="shared" si="3"/>
        <v>48000</v>
      </c>
      <c r="M40" s="709">
        <v>3</v>
      </c>
      <c r="N40" s="709">
        <v>10400</v>
      </c>
      <c r="O40" s="709">
        <f t="shared" si="4"/>
        <v>31200</v>
      </c>
      <c r="P40" s="709">
        <v>0</v>
      </c>
      <c r="Q40" s="709">
        <v>18200</v>
      </c>
      <c r="R40" s="709">
        <f t="shared" si="5"/>
        <v>0</v>
      </c>
      <c r="S40" s="710">
        <v>6</v>
      </c>
      <c r="T40" s="709">
        <v>6500</v>
      </c>
      <c r="U40" s="709">
        <f t="shared" si="6"/>
        <v>39000</v>
      </c>
      <c r="V40" s="710">
        <v>0</v>
      </c>
      <c r="W40" s="709">
        <v>11050</v>
      </c>
      <c r="X40" s="709">
        <f t="shared" si="7"/>
        <v>0</v>
      </c>
    </row>
    <row r="41" spans="2:24" ht="14.1" customHeight="1" x14ac:dyDescent="0.25">
      <c r="B41" s="707">
        <v>36</v>
      </c>
      <c r="C41" s="708" t="s">
        <v>278</v>
      </c>
      <c r="D41" s="545">
        <v>6</v>
      </c>
      <c r="E41" s="709">
        <v>5200</v>
      </c>
      <c r="F41" s="709">
        <f t="shared" si="0"/>
        <v>31200</v>
      </c>
      <c r="G41" s="710">
        <v>6</v>
      </c>
      <c r="H41" s="709">
        <v>5200</v>
      </c>
      <c r="I41" s="709">
        <f t="shared" si="1"/>
        <v>31200</v>
      </c>
      <c r="J41" s="710">
        <f t="shared" si="2"/>
        <v>12</v>
      </c>
      <c r="K41" s="709">
        <v>4000</v>
      </c>
      <c r="L41" s="709">
        <f t="shared" si="3"/>
        <v>48000</v>
      </c>
      <c r="M41" s="709">
        <v>3</v>
      </c>
      <c r="N41" s="709">
        <v>10400</v>
      </c>
      <c r="O41" s="709">
        <f t="shared" si="4"/>
        <v>31200</v>
      </c>
      <c r="P41" s="709">
        <v>0</v>
      </c>
      <c r="Q41" s="709">
        <v>18200</v>
      </c>
      <c r="R41" s="709">
        <f t="shared" si="5"/>
        <v>0</v>
      </c>
      <c r="S41" s="710">
        <v>6</v>
      </c>
      <c r="T41" s="709">
        <v>6500</v>
      </c>
      <c r="U41" s="709">
        <f t="shared" si="6"/>
        <v>39000</v>
      </c>
      <c r="V41" s="710">
        <v>0</v>
      </c>
      <c r="W41" s="709">
        <v>11050</v>
      </c>
      <c r="X41" s="709">
        <f t="shared" si="7"/>
        <v>0</v>
      </c>
    </row>
    <row r="42" spans="2:24" ht="14.1" customHeight="1" x14ac:dyDescent="0.25">
      <c r="B42" s="707">
        <v>37</v>
      </c>
      <c r="C42" s="711" t="s">
        <v>365</v>
      </c>
      <c r="D42" s="545">
        <v>0</v>
      </c>
      <c r="E42" s="709">
        <v>5200</v>
      </c>
      <c r="F42" s="709">
        <f t="shared" si="0"/>
        <v>0</v>
      </c>
      <c r="G42" s="710">
        <v>0</v>
      </c>
      <c r="H42" s="709">
        <v>5200</v>
      </c>
      <c r="I42" s="709">
        <f t="shared" si="1"/>
        <v>0</v>
      </c>
      <c r="J42" s="710">
        <f t="shared" si="2"/>
        <v>0</v>
      </c>
      <c r="K42" s="709">
        <v>4000</v>
      </c>
      <c r="L42" s="709">
        <f t="shared" si="3"/>
        <v>0</v>
      </c>
      <c r="M42" s="709">
        <v>0</v>
      </c>
      <c r="N42" s="709">
        <v>10400</v>
      </c>
      <c r="O42" s="709">
        <f t="shared" si="4"/>
        <v>0</v>
      </c>
      <c r="P42" s="710">
        <v>0</v>
      </c>
      <c r="Q42" s="709">
        <v>18200</v>
      </c>
      <c r="R42" s="709">
        <f t="shared" si="5"/>
        <v>0</v>
      </c>
      <c r="S42" s="710">
        <v>0</v>
      </c>
      <c r="T42" s="709">
        <v>6500</v>
      </c>
      <c r="U42" s="709">
        <f t="shared" si="6"/>
        <v>0</v>
      </c>
      <c r="V42" s="710">
        <v>0</v>
      </c>
      <c r="W42" s="709">
        <v>11050</v>
      </c>
      <c r="X42" s="709">
        <f t="shared" si="7"/>
        <v>0</v>
      </c>
    </row>
    <row r="43" spans="2:24" ht="14.1" customHeight="1" x14ac:dyDescent="0.25">
      <c r="B43" s="712"/>
      <c r="C43" s="713" t="s">
        <v>297</v>
      </c>
      <c r="D43" s="707">
        <f>SUM(D6:D42)</f>
        <v>51</v>
      </c>
      <c r="E43" s="986">
        <f>SUM(F6:F42)</f>
        <v>265200</v>
      </c>
      <c r="F43" s="987"/>
      <c r="G43" s="714">
        <f>SUM(G6:G42)</f>
        <v>51</v>
      </c>
      <c r="H43" s="986">
        <f>SUM(I6:I42)</f>
        <v>265200</v>
      </c>
      <c r="I43" s="987"/>
      <c r="J43" s="714">
        <f>SUM(J6:J42)</f>
        <v>102</v>
      </c>
      <c r="K43" s="986">
        <f>SUM(L6:L42)</f>
        <v>408000</v>
      </c>
      <c r="L43" s="987"/>
      <c r="M43" s="709">
        <f t="shared" ref="M43" si="8">SUM(M6:M42)</f>
        <v>21</v>
      </c>
      <c r="N43" s="986">
        <f>SUM(O6:O42)</f>
        <v>218400</v>
      </c>
      <c r="O43" s="987"/>
      <c r="P43" s="714">
        <f t="shared" ref="P43:S43" si="9">SUM(P6:P42)</f>
        <v>0</v>
      </c>
      <c r="Q43" s="986">
        <f>SUM(R6:R42)</f>
        <v>0</v>
      </c>
      <c r="R43" s="987"/>
      <c r="S43" s="714">
        <f t="shared" si="9"/>
        <v>51</v>
      </c>
      <c r="T43" s="986">
        <f>SUM(U6:U42)</f>
        <v>331500</v>
      </c>
      <c r="U43" s="987"/>
      <c r="V43" s="714">
        <f t="shared" ref="V43" si="10">SUM(V6:V42)</f>
        <v>0</v>
      </c>
      <c r="W43" s="986">
        <f>SUM(X6:X42)</f>
        <v>0</v>
      </c>
      <c r="X43" s="987"/>
    </row>
    <row r="44" spans="2:24" ht="14.1" customHeight="1" x14ac:dyDescent="0.25">
      <c r="B44" s="712"/>
      <c r="C44" s="715" t="s">
        <v>282</v>
      </c>
      <c r="D44" s="712"/>
      <c r="E44" s="986">
        <f>E43*0.16</f>
        <v>42432</v>
      </c>
      <c r="F44" s="987"/>
      <c r="G44" s="714"/>
      <c r="H44" s="986">
        <f>H43*0.16</f>
        <v>42432</v>
      </c>
      <c r="I44" s="987"/>
      <c r="J44" s="714"/>
      <c r="K44" s="986">
        <f>K43*0.16</f>
        <v>65280</v>
      </c>
      <c r="L44" s="987"/>
      <c r="M44" s="709">
        <f t="shared" ref="M44" si="11">M43*0.16</f>
        <v>3.36</v>
      </c>
      <c r="N44" s="986">
        <f>N43*0.16</f>
        <v>34944</v>
      </c>
      <c r="O44" s="987"/>
      <c r="P44" s="714"/>
      <c r="Q44" s="986">
        <f>Q43*0.16</f>
        <v>0</v>
      </c>
      <c r="R44" s="987"/>
      <c r="S44" s="714"/>
      <c r="T44" s="986">
        <f>T43*0.16</f>
        <v>53040</v>
      </c>
      <c r="U44" s="987"/>
      <c r="V44" s="714"/>
      <c r="W44" s="986">
        <f>W43*0.16</f>
        <v>0</v>
      </c>
      <c r="X44" s="987"/>
    </row>
    <row r="45" spans="2:24" ht="14.1" customHeight="1" x14ac:dyDescent="0.25">
      <c r="B45" s="712"/>
      <c r="C45" s="715" t="s">
        <v>298</v>
      </c>
      <c r="D45" s="712"/>
      <c r="E45" s="986">
        <f>SUM(E43:F44)</f>
        <v>307632</v>
      </c>
      <c r="F45" s="987"/>
      <c r="G45" s="714">
        <f t="shared" ref="G45:S45" si="12">SUM(G43:G44)</f>
        <v>51</v>
      </c>
      <c r="H45" s="986">
        <f>SUM(H43:I44)</f>
        <v>307632</v>
      </c>
      <c r="I45" s="987"/>
      <c r="J45" s="714">
        <f t="shared" si="12"/>
        <v>102</v>
      </c>
      <c r="K45" s="986">
        <f>SUM(K43:L44)</f>
        <v>473280</v>
      </c>
      <c r="L45" s="987"/>
      <c r="M45" s="709">
        <f t="shared" ref="M45" si="13">SUM(M43:M44)</f>
        <v>24.36</v>
      </c>
      <c r="N45" s="986">
        <f>SUM(N43:O44)</f>
        <v>253344</v>
      </c>
      <c r="O45" s="987"/>
      <c r="P45" s="714">
        <f t="shared" si="12"/>
        <v>0</v>
      </c>
      <c r="Q45" s="986">
        <f>SUM(Q43:R44)</f>
        <v>0</v>
      </c>
      <c r="R45" s="987"/>
      <c r="S45" s="714">
        <f t="shared" si="12"/>
        <v>51</v>
      </c>
      <c r="T45" s="986">
        <f>SUM(T43:U44)</f>
        <v>384540</v>
      </c>
      <c r="U45" s="987"/>
      <c r="V45" s="714">
        <f t="shared" ref="V45" si="14">SUM(V43:V44)</f>
        <v>0</v>
      </c>
      <c r="W45" s="986">
        <f>SUM(W43:X44)</f>
        <v>0</v>
      </c>
      <c r="X45" s="987"/>
    </row>
    <row r="46" spans="2:24" ht="14.1" customHeight="1" x14ac:dyDescent="0.25">
      <c r="B46" s="716"/>
      <c r="C46" s="716"/>
      <c r="D46" s="716"/>
      <c r="E46" s="716"/>
      <c r="F46" s="716"/>
      <c r="G46" s="716"/>
      <c r="H46" s="716"/>
      <c r="I46" s="716"/>
      <c r="J46" s="716"/>
      <c r="K46" s="716"/>
      <c r="L46" s="716"/>
      <c r="M46" s="716"/>
      <c r="N46" s="716"/>
      <c r="O46" s="716"/>
      <c r="P46" s="716"/>
      <c r="Q46" s="716"/>
      <c r="R46" s="717"/>
      <c r="S46" s="983" t="s">
        <v>298</v>
      </c>
      <c r="T46" s="983"/>
      <c r="U46" s="983"/>
      <c r="V46" s="983"/>
      <c r="W46" s="984">
        <f>+W45+T45+Q45+N45+K45+H45+E45</f>
        <v>1726428</v>
      </c>
      <c r="X46" s="983"/>
    </row>
    <row r="47" spans="2:24" ht="14.1" customHeight="1" x14ac:dyDescent="0.25">
      <c r="S47" s="983" t="s">
        <v>161</v>
      </c>
      <c r="T47" s="983"/>
      <c r="U47" s="983"/>
      <c r="V47" s="983"/>
      <c r="W47" s="984">
        <v>45173226</v>
      </c>
      <c r="X47" s="983"/>
    </row>
  </sheetData>
  <mergeCells count="36">
    <mergeCell ref="S47:V47"/>
    <mergeCell ref="W47:X47"/>
    <mergeCell ref="B2:X2"/>
    <mergeCell ref="B3:X3"/>
    <mergeCell ref="B4:B5"/>
    <mergeCell ref="C4:C5"/>
    <mergeCell ref="D4:F4"/>
    <mergeCell ref="G4:I4"/>
    <mergeCell ref="J4:L4"/>
    <mergeCell ref="M4:O4"/>
    <mergeCell ref="P4:R4"/>
    <mergeCell ref="S4:U4"/>
    <mergeCell ref="E43:F43"/>
    <mergeCell ref="H43:I43"/>
    <mergeCell ref="K43:L43"/>
    <mergeCell ref="N43:O43"/>
    <mergeCell ref="Q43:R43"/>
    <mergeCell ref="E44:F44"/>
    <mergeCell ref="H44:I44"/>
    <mergeCell ref="K44:L44"/>
    <mergeCell ref="N44:O44"/>
    <mergeCell ref="Q44:R44"/>
    <mergeCell ref="E45:F45"/>
    <mergeCell ref="H45:I45"/>
    <mergeCell ref="K45:L45"/>
    <mergeCell ref="N45:O45"/>
    <mergeCell ref="Q45:R45"/>
    <mergeCell ref="S46:V46"/>
    <mergeCell ref="W46:X46"/>
    <mergeCell ref="V4:X4"/>
    <mergeCell ref="W43:X43"/>
    <mergeCell ref="W44:X44"/>
    <mergeCell ref="W45:X45"/>
    <mergeCell ref="T45:U45"/>
    <mergeCell ref="T44:U44"/>
    <mergeCell ref="T43:U43"/>
  </mergeCells>
  <pageMargins left="1.33" right="0.7" top="0.3" bottom="1.44" header="0.3" footer="0.91"/>
  <pageSetup paperSize="5" scale="70" orientation="landscape" r:id="rId1"/>
  <headerFooter>
    <oddFooter xml:space="preserve">&amp;C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rgb="FF00B0F0"/>
  </sheetPr>
  <dimension ref="A3:K50"/>
  <sheetViews>
    <sheetView view="pageLayout" workbookViewId="0">
      <selection activeCell="H10" sqref="H10"/>
    </sheetView>
  </sheetViews>
  <sheetFormatPr baseColWidth="10" defaultRowHeight="12" x14ac:dyDescent="0.25"/>
  <cols>
    <col min="1" max="1" width="4.7109375" style="226" bestFit="1" customWidth="1"/>
    <col min="2" max="2" width="22.140625" style="226" customWidth="1"/>
    <col min="3" max="3" width="5.7109375" style="226" bestFit="1" customWidth="1"/>
    <col min="4" max="4" width="9.140625" style="226" bestFit="1" customWidth="1"/>
    <col min="5" max="5" width="12" style="226" customWidth="1"/>
    <col min="6" max="6" width="5.7109375" style="562" bestFit="1" customWidth="1"/>
    <col min="7" max="7" width="9.140625" style="226" bestFit="1" customWidth="1"/>
    <col min="8" max="8" width="13.140625" style="226" bestFit="1" customWidth="1"/>
    <col min="9" max="9" width="5.7109375" style="226" bestFit="1" customWidth="1"/>
    <col min="10" max="10" width="9.140625" style="226" bestFit="1" customWidth="1"/>
    <col min="11" max="11" width="11.140625" style="226" bestFit="1" customWidth="1"/>
    <col min="12" max="16384" width="11.42578125" style="226"/>
  </cols>
  <sheetData>
    <row r="3" spans="1:11" x14ac:dyDescent="0.25">
      <c r="A3" s="867" t="s">
        <v>1406</v>
      </c>
      <c r="B3" s="867"/>
      <c r="C3" s="867"/>
      <c r="D3" s="867"/>
      <c r="E3" s="867"/>
      <c r="F3" s="867"/>
      <c r="G3" s="867"/>
      <c r="H3" s="867"/>
      <c r="I3" s="867"/>
      <c r="J3" s="867"/>
      <c r="K3" s="867"/>
    </row>
    <row r="4" spans="1:11" x14ac:dyDescent="0.25">
      <c r="A4" s="872" t="s">
        <v>233</v>
      </c>
      <c r="B4" s="872" t="s">
        <v>521</v>
      </c>
      <c r="C4" s="867" t="s">
        <v>520</v>
      </c>
      <c r="D4" s="867"/>
      <c r="E4" s="867"/>
      <c r="F4" s="867"/>
      <c r="G4" s="867"/>
      <c r="H4" s="867"/>
      <c r="I4" s="867"/>
      <c r="J4" s="867"/>
      <c r="K4" s="867"/>
    </row>
    <row r="5" spans="1:11" x14ac:dyDescent="0.25">
      <c r="A5" s="872"/>
      <c r="B5" s="872"/>
      <c r="C5" s="867" t="s">
        <v>522</v>
      </c>
      <c r="D5" s="867"/>
      <c r="E5" s="867"/>
      <c r="F5" s="867" t="s">
        <v>523</v>
      </c>
      <c r="G5" s="867"/>
      <c r="H5" s="867"/>
      <c r="I5" s="867" t="s">
        <v>524</v>
      </c>
      <c r="J5" s="867"/>
      <c r="K5" s="867"/>
    </row>
    <row r="6" spans="1:11" x14ac:dyDescent="0.25">
      <c r="A6" s="872"/>
      <c r="B6" s="872"/>
      <c r="C6" s="511" t="s">
        <v>162</v>
      </c>
      <c r="D6" s="511" t="s">
        <v>285</v>
      </c>
      <c r="E6" s="511" t="s">
        <v>164</v>
      </c>
      <c r="F6" s="511" t="s">
        <v>162</v>
      </c>
      <c r="G6" s="511" t="s">
        <v>285</v>
      </c>
      <c r="H6" s="511" t="s">
        <v>525</v>
      </c>
      <c r="I6" s="511" t="s">
        <v>162</v>
      </c>
      <c r="J6" s="511" t="s">
        <v>285</v>
      </c>
      <c r="K6" s="511" t="s">
        <v>164</v>
      </c>
    </row>
    <row r="7" spans="1:11" ht="17.100000000000001" customHeight="1" x14ac:dyDescent="0.25">
      <c r="A7" s="372">
        <v>1</v>
      </c>
      <c r="B7" s="147" t="s">
        <v>241</v>
      </c>
      <c r="C7" s="516"/>
      <c r="D7" s="204">
        <v>2375000</v>
      </c>
      <c r="E7" s="204">
        <f t="shared" ref="E7:E25" si="0">D7*C7</f>
        <v>0</v>
      </c>
      <c r="F7" s="571">
        <v>1</v>
      </c>
      <c r="G7" s="204">
        <v>1960000</v>
      </c>
      <c r="H7" s="204">
        <f>G7*F7</f>
        <v>1960000</v>
      </c>
      <c r="I7" s="571"/>
      <c r="J7" s="204">
        <v>1078870</v>
      </c>
      <c r="K7" s="204">
        <f>J7*I7</f>
        <v>0</v>
      </c>
    </row>
    <row r="8" spans="1:11" ht="17.100000000000001" customHeight="1" x14ac:dyDescent="0.25">
      <c r="A8" s="372">
        <v>2</v>
      </c>
      <c r="B8" s="147" t="s">
        <v>242</v>
      </c>
      <c r="C8" s="516"/>
      <c r="D8" s="204">
        <v>2375000</v>
      </c>
      <c r="E8" s="204">
        <f t="shared" si="0"/>
        <v>0</v>
      </c>
      <c r="F8" s="571">
        <v>5</v>
      </c>
      <c r="G8" s="204">
        <v>1960000</v>
      </c>
      <c r="H8" s="204">
        <f t="shared" ref="H8:H46" si="1">G8*F8</f>
        <v>9800000</v>
      </c>
      <c r="I8" s="571"/>
      <c r="J8" s="204">
        <v>1078870</v>
      </c>
      <c r="K8" s="204">
        <f>J8*I8</f>
        <v>0</v>
      </c>
    </row>
    <row r="9" spans="1:11" ht="17.100000000000001" customHeight="1" x14ac:dyDescent="0.25">
      <c r="A9" s="372">
        <v>3</v>
      </c>
      <c r="B9" s="147" t="s">
        <v>243</v>
      </c>
      <c r="C9" s="516"/>
      <c r="D9" s="204">
        <v>2375000</v>
      </c>
      <c r="E9" s="204">
        <f t="shared" si="0"/>
        <v>0</v>
      </c>
      <c r="F9" s="571">
        <v>1</v>
      </c>
      <c r="G9" s="204">
        <v>1960000</v>
      </c>
      <c r="H9" s="204">
        <f t="shared" si="1"/>
        <v>1960000</v>
      </c>
      <c r="I9" s="571"/>
      <c r="J9" s="204">
        <v>1078870</v>
      </c>
      <c r="K9" s="204">
        <f t="shared" ref="K9:K46" si="2">J9*I9</f>
        <v>0</v>
      </c>
    </row>
    <row r="10" spans="1:11" ht="17.100000000000001" customHeight="1" x14ac:dyDescent="0.25">
      <c r="A10" s="372">
        <v>4</v>
      </c>
      <c r="B10" s="147" t="s">
        <v>244</v>
      </c>
      <c r="C10" s="516"/>
      <c r="D10" s="204">
        <v>2375000</v>
      </c>
      <c r="E10" s="204">
        <f t="shared" si="0"/>
        <v>0</v>
      </c>
      <c r="F10" s="571">
        <v>2</v>
      </c>
      <c r="G10" s="204">
        <v>1960000</v>
      </c>
      <c r="H10" s="204">
        <f t="shared" si="1"/>
        <v>3920000</v>
      </c>
      <c r="I10" s="571"/>
      <c r="J10" s="204">
        <v>1078870</v>
      </c>
      <c r="K10" s="204">
        <f t="shared" si="2"/>
        <v>0</v>
      </c>
    </row>
    <row r="11" spans="1:11" ht="17.100000000000001" customHeight="1" x14ac:dyDescent="0.25">
      <c r="A11" s="372">
        <v>5</v>
      </c>
      <c r="B11" s="147" t="s">
        <v>245</v>
      </c>
      <c r="C11" s="516"/>
      <c r="D11" s="204">
        <v>2375000</v>
      </c>
      <c r="E11" s="204">
        <f t="shared" si="0"/>
        <v>0</v>
      </c>
      <c r="F11" s="571"/>
      <c r="G11" s="204">
        <v>1960000</v>
      </c>
      <c r="H11" s="204">
        <f t="shared" si="1"/>
        <v>0</v>
      </c>
      <c r="I11" s="571">
        <v>3</v>
      </c>
      <c r="J11" s="204">
        <v>1078870</v>
      </c>
      <c r="K11" s="204">
        <f t="shared" si="2"/>
        <v>3236610</v>
      </c>
    </row>
    <row r="12" spans="1:11" ht="17.100000000000001" customHeight="1" x14ac:dyDescent="0.25">
      <c r="A12" s="372">
        <v>6</v>
      </c>
      <c r="B12" s="147" t="s">
        <v>246</v>
      </c>
      <c r="C12" s="516"/>
      <c r="D12" s="204">
        <v>2375000</v>
      </c>
      <c r="E12" s="204">
        <f t="shared" si="0"/>
        <v>0</v>
      </c>
      <c r="F12" s="571">
        <v>2</v>
      </c>
      <c r="G12" s="204">
        <v>1960000</v>
      </c>
      <c r="H12" s="204">
        <f t="shared" si="1"/>
        <v>3920000</v>
      </c>
      <c r="I12" s="571"/>
      <c r="J12" s="204">
        <v>1078870</v>
      </c>
      <c r="K12" s="204">
        <f t="shared" si="2"/>
        <v>0</v>
      </c>
    </row>
    <row r="13" spans="1:11" ht="17.100000000000001" customHeight="1" x14ac:dyDescent="0.25">
      <c r="A13" s="372">
        <v>7</v>
      </c>
      <c r="B13" s="147" t="s">
        <v>526</v>
      </c>
      <c r="C13" s="516"/>
      <c r="D13" s="204">
        <v>2375000</v>
      </c>
      <c r="E13" s="204">
        <f t="shared" si="0"/>
        <v>0</v>
      </c>
      <c r="F13" s="571">
        <v>2</v>
      </c>
      <c r="G13" s="204">
        <v>1960000</v>
      </c>
      <c r="H13" s="204">
        <f t="shared" si="1"/>
        <v>3920000</v>
      </c>
      <c r="I13" s="571"/>
      <c r="J13" s="204">
        <v>1078870</v>
      </c>
      <c r="K13" s="204">
        <f t="shared" si="2"/>
        <v>0</v>
      </c>
    </row>
    <row r="14" spans="1:11" ht="17.100000000000001" customHeight="1" x14ac:dyDescent="0.25">
      <c r="A14" s="372">
        <v>8</v>
      </c>
      <c r="B14" s="147" t="s">
        <v>248</v>
      </c>
      <c r="C14" s="516"/>
      <c r="D14" s="204">
        <v>2375000</v>
      </c>
      <c r="E14" s="204">
        <f t="shared" si="0"/>
        <v>0</v>
      </c>
      <c r="F14" s="571">
        <v>2</v>
      </c>
      <c r="G14" s="204">
        <v>1960000</v>
      </c>
      <c r="H14" s="204">
        <f t="shared" si="1"/>
        <v>3920000</v>
      </c>
      <c r="I14" s="571"/>
      <c r="J14" s="204">
        <v>1078870</v>
      </c>
      <c r="K14" s="204">
        <f t="shared" si="2"/>
        <v>0</v>
      </c>
    </row>
    <row r="15" spans="1:11" ht="17.100000000000001" customHeight="1" x14ac:dyDescent="0.25">
      <c r="A15" s="372">
        <v>9</v>
      </c>
      <c r="B15" s="147" t="s">
        <v>249</v>
      </c>
      <c r="C15" s="516"/>
      <c r="D15" s="204">
        <v>2375000</v>
      </c>
      <c r="E15" s="204">
        <f t="shared" si="0"/>
        <v>0</v>
      </c>
      <c r="F15" s="571">
        <v>2</v>
      </c>
      <c r="G15" s="204">
        <v>1960000</v>
      </c>
      <c r="H15" s="204">
        <f t="shared" si="1"/>
        <v>3920000</v>
      </c>
      <c r="I15" s="571"/>
      <c r="J15" s="204">
        <v>1078870</v>
      </c>
      <c r="K15" s="204">
        <f t="shared" si="2"/>
        <v>0</v>
      </c>
    </row>
    <row r="16" spans="1:11" ht="17.100000000000001" customHeight="1" x14ac:dyDescent="0.25">
      <c r="A16" s="372">
        <v>10</v>
      </c>
      <c r="B16" s="147" t="s">
        <v>250</v>
      </c>
      <c r="C16" s="516"/>
      <c r="D16" s="204">
        <v>2375000</v>
      </c>
      <c r="E16" s="204">
        <f t="shared" si="0"/>
        <v>0</v>
      </c>
      <c r="F16" s="571">
        <v>2</v>
      </c>
      <c r="G16" s="204">
        <v>1960000</v>
      </c>
      <c r="H16" s="204">
        <f t="shared" si="1"/>
        <v>3920000</v>
      </c>
      <c r="I16" s="571"/>
      <c r="J16" s="204">
        <v>1078870</v>
      </c>
      <c r="K16" s="204">
        <f t="shared" si="2"/>
        <v>0</v>
      </c>
    </row>
    <row r="17" spans="1:11" ht="17.100000000000001" customHeight="1" x14ac:dyDescent="0.25">
      <c r="A17" s="372">
        <v>11</v>
      </c>
      <c r="B17" s="147" t="s">
        <v>251</v>
      </c>
      <c r="C17" s="516"/>
      <c r="D17" s="204">
        <v>2375000</v>
      </c>
      <c r="E17" s="204">
        <f t="shared" si="0"/>
        <v>0</v>
      </c>
      <c r="F17" s="571">
        <v>2</v>
      </c>
      <c r="G17" s="204">
        <v>1960000</v>
      </c>
      <c r="H17" s="204">
        <f t="shared" si="1"/>
        <v>3920000</v>
      </c>
      <c r="I17" s="571"/>
      <c r="J17" s="204">
        <v>1078870</v>
      </c>
      <c r="K17" s="204">
        <f t="shared" si="2"/>
        <v>0</v>
      </c>
    </row>
    <row r="18" spans="1:11" ht="17.100000000000001" customHeight="1" x14ac:dyDescent="0.25">
      <c r="A18" s="372">
        <v>12</v>
      </c>
      <c r="B18" s="147" t="s">
        <v>252</v>
      </c>
      <c r="C18" s="516"/>
      <c r="D18" s="204">
        <v>2375000</v>
      </c>
      <c r="E18" s="204">
        <f t="shared" si="0"/>
        <v>0</v>
      </c>
      <c r="F18" s="571">
        <v>2</v>
      </c>
      <c r="G18" s="204">
        <v>1960000</v>
      </c>
      <c r="H18" s="204">
        <f t="shared" si="1"/>
        <v>3920000</v>
      </c>
      <c r="I18" s="571"/>
      <c r="J18" s="204">
        <v>1078870</v>
      </c>
      <c r="K18" s="204">
        <f t="shared" si="2"/>
        <v>0</v>
      </c>
    </row>
    <row r="19" spans="1:11" ht="17.100000000000001" customHeight="1" x14ac:dyDescent="0.25">
      <c r="A19" s="372">
        <v>13</v>
      </c>
      <c r="B19" s="147" t="s">
        <v>253</v>
      </c>
      <c r="C19" s="516"/>
      <c r="D19" s="204">
        <v>2375000</v>
      </c>
      <c r="E19" s="204">
        <f t="shared" si="0"/>
        <v>0</v>
      </c>
      <c r="F19" s="571">
        <v>2</v>
      </c>
      <c r="G19" s="204">
        <v>1960000</v>
      </c>
      <c r="H19" s="204">
        <f t="shared" si="1"/>
        <v>3920000</v>
      </c>
      <c r="I19" s="571"/>
      <c r="J19" s="204">
        <v>1078870</v>
      </c>
      <c r="K19" s="204">
        <f t="shared" si="2"/>
        <v>0</v>
      </c>
    </row>
    <row r="20" spans="1:11" ht="17.100000000000001" customHeight="1" x14ac:dyDescent="0.25">
      <c r="A20" s="372">
        <v>14</v>
      </c>
      <c r="B20" s="147" t="s">
        <v>254</v>
      </c>
      <c r="C20" s="516"/>
      <c r="D20" s="204">
        <v>2375000</v>
      </c>
      <c r="E20" s="204">
        <f t="shared" si="0"/>
        <v>0</v>
      </c>
      <c r="F20" s="571">
        <v>2</v>
      </c>
      <c r="G20" s="204">
        <v>1960000</v>
      </c>
      <c r="H20" s="204">
        <f t="shared" si="1"/>
        <v>3920000</v>
      </c>
      <c r="I20" s="571"/>
      <c r="J20" s="204">
        <v>1078870</v>
      </c>
      <c r="K20" s="204">
        <f t="shared" si="2"/>
        <v>0</v>
      </c>
    </row>
    <row r="21" spans="1:11" ht="17.100000000000001" customHeight="1" x14ac:dyDescent="0.25">
      <c r="A21" s="372">
        <v>15</v>
      </c>
      <c r="B21" s="147" t="s">
        <v>255</v>
      </c>
      <c r="C21" s="516"/>
      <c r="D21" s="204">
        <v>2375000</v>
      </c>
      <c r="E21" s="204">
        <f t="shared" si="0"/>
        <v>0</v>
      </c>
      <c r="F21" s="571">
        <v>2</v>
      </c>
      <c r="G21" s="204">
        <v>1960000</v>
      </c>
      <c r="H21" s="204">
        <f t="shared" si="1"/>
        <v>3920000</v>
      </c>
      <c r="I21" s="571"/>
      <c r="J21" s="204">
        <v>1078870</v>
      </c>
      <c r="K21" s="204">
        <f t="shared" si="2"/>
        <v>0</v>
      </c>
    </row>
    <row r="22" spans="1:11" ht="17.100000000000001" customHeight="1" x14ac:dyDescent="0.25">
      <c r="A22" s="372">
        <v>16</v>
      </c>
      <c r="B22" s="147" t="s">
        <v>256</v>
      </c>
      <c r="C22" s="516"/>
      <c r="D22" s="204">
        <v>2375000</v>
      </c>
      <c r="E22" s="204">
        <f t="shared" si="0"/>
        <v>0</v>
      </c>
      <c r="F22" s="571"/>
      <c r="G22" s="204">
        <v>1960000</v>
      </c>
      <c r="H22" s="204">
        <f t="shared" si="1"/>
        <v>0</v>
      </c>
      <c r="I22" s="571">
        <v>2</v>
      </c>
      <c r="J22" s="204">
        <v>1078870</v>
      </c>
      <c r="K22" s="204">
        <f t="shared" si="2"/>
        <v>2157740</v>
      </c>
    </row>
    <row r="23" spans="1:11" ht="17.100000000000001" customHeight="1" x14ac:dyDescent="0.25">
      <c r="A23" s="372">
        <v>17</v>
      </c>
      <c r="B23" s="147" t="s">
        <v>257</v>
      </c>
      <c r="C23" s="516"/>
      <c r="D23" s="204">
        <v>2375000</v>
      </c>
      <c r="E23" s="204">
        <f t="shared" si="0"/>
        <v>0</v>
      </c>
      <c r="F23" s="571">
        <v>2</v>
      </c>
      <c r="G23" s="204">
        <v>1960000</v>
      </c>
      <c r="H23" s="204">
        <f t="shared" si="1"/>
        <v>3920000</v>
      </c>
      <c r="I23" s="571"/>
      <c r="J23" s="204">
        <v>1078870</v>
      </c>
      <c r="K23" s="204">
        <f t="shared" si="2"/>
        <v>0</v>
      </c>
    </row>
    <row r="24" spans="1:11" ht="17.100000000000001" customHeight="1" x14ac:dyDescent="0.25">
      <c r="A24" s="372">
        <v>18</v>
      </c>
      <c r="B24" s="147" t="s">
        <v>258</v>
      </c>
      <c r="C24" s="516"/>
      <c r="D24" s="204">
        <v>2375000</v>
      </c>
      <c r="E24" s="204">
        <f t="shared" si="0"/>
        <v>0</v>
      </c>
      <c r="F24" s="571">
        <v>2</v>
      </c>
      <c r="G24" s="204">
        <v>1960000</v>
      </c>
      <c r="H24" s="204">
        <f t="shared" si="1"/>
        <v>3920000</v>
      </c>
      <c r="I24" s="571"/>
      <c r="J24" s="204">
        <v>1078870</v>
      </c>
      <c r="K24" s="204">
        <f t="shared" si="2"/>
        <v>0</v>
      </c>
    </row>
    <row r="25" spans="1:11" ht="17.100000000000001" customHeight="1" x14ac:dyDescent="0.25">
      <c r="A25" s="372">
        <v>19</v>
      </c>
      <c r="B25" s="147" t="s">
        <v>259</v>
      </c>
      <c r="C25" s="516"/>
      <c r="D25" s="204">
        <v>2375000</v>
      </c>
      <c r="E25" s="204">
        <f t="shared" si="0"/>
        <v>0</v>
      </c>
      <c r="F25" s="571">
        <v>3</v>
      </c>
      <c r="G25" s="204">
        <v>1960000</v>
      </c>
      <c r="H25" s="204">
        <f t="shared" si="1"/>
        <v>5880000</v>
      </c>
      <c r="I25" s="571"/>
      <c r="J25" s="204">
        <v>1078870</v>
      </c>
      <c r="K25" s="204">
        <f t="shared" si="2"/>
        <v>0</v>
      </c>
    </row>
    <row r="26" spans="1:11" ht="17.100000000000001" customHeight="1" x14ac:dyDescent="0.25">
      <c r="A26" s="372">
        <v>20</v>
      </c>
      <c r="B26" s="147" t="s">
        <v>260</v>
      </c>
      <c r="C26" s="516"/>
      <c r="D26" s="204">
        <v>2375000</v>
      </c>
      <c r="E26" s="204">
        <f t="shared" ref="E26:E46" si="3">D26*C26</f>
        <v>0</v>
      </c>
      <c r="F26" s="571"/>
      <c r="G26" s="204">
        <v>1960000</v>
      </c>
      <c r="H26" s="204">
        <f t="shared" si="1"/>
        <v>0</v>
      </c>
      <c r="I26" s="571">
        <v>2</v>
      </c>
      <c r="J26" s="204">
        <v>1078870</v>
      </c>
      <c r="K26" s="204">
        <f t="shared" si="2"/>
        <v>2157740</v>
      </c>
    </row>
    <row r="27" spans="1:11" ht="17.100000000000001" customHeight="1" x14ac:dyDescent="0.25">
      <c r="A27" s="372">
        <v>21</v>
      </c>
      <c r="B27" s="147" t="s">
        <v>261</v>
      </c>
      <c r="C27" s="516"/>
      <c r="D27" s="204">
        <v>2375000</v>
      </c>
      <c r="E27" s="204">
        <f t="shared" si="3"/>
        <v>0</v>
      </c>
      <c r="F27" s="571">
        <v>2</v>
      </c>
      <c r="G27" s="204">
        <v>1960000</v>
      </c>
      <c r="H27" s="204">
        <f t="shared" si="1"/>
        <v>3920000</v>
      </c>
      <c r="I27" s="571"/>
      <c r="J27" s="204">
        <v>1078870</v>
      </c>
      <c r="K27" s="204">
        <f t="shared" si="2"/>
        <v>0</v>
      </c>
    </row>
    <row r="28" spans="1:11" ht="17.100000000000001" customHeight="1" x14ac:dyDescent="0.25">
      <c r="A28" s="372">
        <v>22</v>
      </c>
      <c r="B28" s="147" t="s">
        <v>262</v>
      </c>
      <c r="C28" s="516"/>
      <c r="D28" s="204">
        <v>2375000</v>
      </c>
      <c r="E28" s="204">
        <f t="shared" si="3"/>
        <v>0</v>
      </c>
      <c r="F28" s="571">
        <v>2</v>
      </c>
      <c r="G28" s="204">
        <v>1960000</v>
      </c>
      <c r="H28" s="204">
        <f t="shared" si="1"/>
        <v>3920000</v>
      </c>
      <c r="I28" s="571"/>
      <c r="J28" s="204">
        <v>1078870</v>
      </c>
      <c r="K28" s="204">
        <f t="shared" si="2"/>
        <v>0</v>
      </c>
    </row>
    <row r="29" spans="1:11" ht="17.100000000000001" customHeight="1" x14ac:dyDescent="0.25">
      <c r="A29" s="372">
        <v>23</v>
      </c>
      <c r="B29" s="147" t="s">
        <v>263</v>
      </c>
      <c r="C29" s="516"/>
      <c r="D29" s="204">
        <v>2375000</v>
      </c>
      <c r="E29" s="204">
        <f t="shared" si="3"/>
        <v>0</v>
      </c>
      <c r="F29" s="571"/>
      <c r="G29" s="204">
        <v>1960000</v>
      </c>
      <c r="H29" s="204">
        <f t="shared" si="1"/>
        <v>0</v>
      </c>
      <c r="I29" s="571">
        <v>2</v>
      </c>
      <c r="J29" s="204">
        <v>1078870</v>
      </c>
      <c r="K29" s="204">
        <f t="shared" si="2"/>
        <v>2157740</v>
      </c>
    </row>
    <row r="30" spans="1:11" ht="17.100000000000001" customHeight="1" x14ac:dyDescent="0.25">
      <c r="A30" s="372">
        <v>24</v>
      </c>
      <c r="B30" s="147" t="s">
        <v>264</v>
      </c>
      <c r="C30" s="516"/>
      <c r="D30" s="204">
        <v>2375000</v>
      </c>
      <c r="E30" s="204">
        <f t="shared" si="3"/>
        <v>0</v>
      </c>
      <c r="F30" s="571">
        <v>2</v>
      </c>
      <c r="G30" s="204">
        <v>1960000</v>
      </c>
      <c r="H30" s="204">
        <f t="shared" si="1"/>
        <v>3920000</v>
      </c>
      <c r="I30" s="571"/>
      <c r="J30" s="204">
        <v>1078870</v>
      </c>
      <c r="K30" s="204">
        <f t="shared" si="2"/>
        <v>0</v>
      </c>
    </row>
    <row r="31" spans="1:11" ht="17.100000000000001" customHeight="1" x14ac:dyDescent="0.25">
      <c r="A31" s="372">
        <v>25</v>
      </c>
      <c r="B31" s="147" t="s">
        <v>265</v>
      </c>
      <c r="C31" s="516">
        <v>2</v>
      </c>
      <c r="D31" s="204">
        <v>2375000</v>
      </c>
      <c r="E31" s="204">
        <f t="shared" si="3"/>
        <v>4750000</v>
      </c>
      <c r="F31" s="571">
        <v>6</v>
      </c>
      <c r="G31" s="204">
        <v>1960000</v>
      </c>
      <c r="H31" s="204">
        <f t="shared" si="1"/>
        <v>11760000</v>
      </c>
      <c r="I31" s="571"/>
      <c r="J31" s="204">
        <v>1078870</v>
      </c>
      <c r="K31" s="204">
        <f t="shared" si="2"/>
        <v>0</v>
      </c>
    </row>
    <row r="32" spans="1:11" ht="17.100000000000001" customHeight="1" x14ac:dyDescent="0.25">
      <c r="A32" s="372">
        <v>26</v>
      </c>
      <c r="B32" s="147" t="s">
        <v>266</v>
      </c>
      <c r="C32" s="516"/>
      <c r="D32" s="204">
        <v>2375000</v>
      </c>
      <c r="E32" s="204">
        <f t="shared" si="3"/>
        <v>0</v>
      </c>
      <c r="F32" s="571">
        <v>2</v>
      </c>
      <c r="G32" s="204">
        <v>1960000</v>
      </c>
      <c r="H32" s="204">
        <f t="shared" si="1"/>
        <v>3920000</v>
      </c>
      <c r="I32" s="571"/>
      <c r="J32" s="204">
        <v>1078870</v>
      </c>
      <c r="K32" s="204">
        <f t="shared" si="2"/>
        <v>0</v>
      </c>
    </row>
    <row r="33" spans="1:11" ht="17.100000000000001" customHeight="1" x14ac:dyDescent="0.25">
      <c r="A33" s="372">
        <v>27</v>
      </c>
      <c r="B33" s="147" t="s">
        <v>267</v>
      </c>
      <c r="C33" s="516"/>
      <c r="D33" s="204">
        <v>2375000</v>
      </c>
      <c r="E33" s="204">
        <f t="shared" si="3"/>
        <v>0</v>
      </c>
      <c r="F33" s="571">
        <v>2</v>
      </c>
      <c r="G33" s="204">
        <v>1960000</v>
      </c>
      <c r="H33" s="204">
        <f t="shared" si="1"/>
        <v>3920000</v>
      </c>
      <c r="I33" s="571"/>
      <c r="J33" s="204">
        <v>1078870</v>
      </c>
      <c r="K33" s="204">
        <f t="shared" si="2"/>
        <v>0</v>
      </c>
    </row>
    <row r="34" spans="1:11" ht="17.100000000000001" customHeight="1" x14ac:dyDescent="0.25">
      <c r="A34" s="372">
        <v>28</v>
      </c>
      <c r="B34" s="147" t="s">
        <v>268</v>
      </c>
      <c r="C34" s="516"/>
      <c r="D34" s="204">
        <v>2375000</v>
      </c>
      <c r="E34" s="204">
        <f t="shared" si="3"/>
        <v>0</v>
      </c>
      <c r="F34" s="571">
        <v>2</v>
      </c>
      <c r="G34" s="204">
        <v>1960000</v>
      </c>
      <c r="H34" s="204">
        <f t="shared" si="1"/>
        <v>3920000</v>
      </c>
      <c r="I34" s="571"/>
      <c r="J34" s="204">
        <v>1078870</v>
      </c>
      <c r="K34" s="204">
        <f t="shared" si="2"/>
        <v>0</v>
      </c>
    </row>
    <row r="35" spans="1:11" ht="17.100000000000001" customHeight="1" x14ac:dyDescent="0.25">
      <c r="A35" s="372">
        <v>29</v>
      </c>
      <c r="B35" s="147" t="s">
        <v>269</v>
      </c>
      <c r="C35" s="516"/>
      <c r="D35" s="204">
        <v>2375000</v>
      </c>
      <c r="E35" s="204">
        <f t="shared" si="3"/>
        <v>0</v>
      </c>
      <c r="F35" s="571">
        <v>2</v>
      </c>
      <c r="G35" s="204">
        <v>1960000</v>
      </c>
      <c r="H35" s="204">
        <f t="shared" si="1"/>
        <v>3920000</v>
      </c>
      <c r="I35" s="571"/>
      <c r="J35" s="204">
        <v>1078870</v>
      </c>
      <c r="K35" s="204">
        <f t="shared" si="2"/>
        <v>0</v>
      </c>
    </row>
    <row r="36" spans="1:11" ht="17.100000000000001" customHeight="1" x14ac:dyDescent="0.25">
      <c r="A36" s="372">
        <v>30</v>
      </c>
      <c r="B36" s="147" t="s">
        <v>270</v>
      </c>
      <c r="C36" s="516"/>
      <c r="D36" s="204">
        <v>2375000</v>
      </c>
      <c r="E36" s="204">
        <f t="shared" si="3"/>
        <v>0</v>
      </c>
      <c r="F36" s="571">
        <v>2</v>
      </c>
      <c r="G36" s="204">
        <v>1960000</v>
      </c>
      <c r="H36" s="204">
        <f t="shared" si="1"/>
        <v>3920000</v>
      </c>
      <c r="I36" s="571"/>
      <c r="J36" s="204">
        <v>1078870</v>
      </c>
      <c r="K36" s="204">
        <f t="shared" si="2"/>
        <v>0</v>
      </c>
    </row>
    <row r="37" spans="1:11" ht="17.100000000000001" customHeight="1" x14ac:dyDescent="0.25">
      <c r="A37" s="372">
        <v>31</v>
      </c>
      <c r="B37" s="147" t="s">
        <v>271</v>
      </c>
      <c r="C37" s="516"/>
      <c r="D37" s="204">
        <v>2375000</v>
      </c>
      <c r="E37" s="204">
        <f t="shared" si="3"/>
        <v>0</v>
      </c>
      <c r="F37" s="571">
        <v>2</v>
      </c>
      <c r="G37" s="204">
        <v>1960000</v>
      </c>
      <c r="H37" s="204">
        <f t="shared" si="1"/>
        <v>3920000</v>
      </c>
      <c r="I37" s="571"/>
      <c r="J37" s="204">
        <v>1078870</v>
      </c>
      <c r="K37" s="204">
        <f t="shared" si="2"/>
        <v>0</v>
      </c>
    </row>
    <row r="38" spans="1:11" ht="17.100000000000001" customHeight="1" x14ac:dyDescent="0.25">
      <c r="A38" s="372">
        <v>32</v>
      </c>
      <c r="B38" s="147" t="s">
        <v>272</v>
      </c>
      <c r="C38" s="516"/>
      <c r="D38" s="204">
        <v>2375000</v>
      </c>
      <c r="E38" s="204">
        <f t="shared" si="3"/>
        <v>0</v>
      </c>
      <c r="F38" s="571">
        <v>2</v>
      </c>
      <c r="G38" s="204">
        <v>1960000</v>
      </c>
      <c r="H38" s="204">
        <f t="shared" si="1"/>
        <v>3920000</v>
      </c>
      <c r="I38" s="571"/>
      <c r="J38" s="204">
        <v>1078870</v>
      </c>
      <c r="K38" s="204">
        <f t="shared" si="2"/>
        <v>0</v>
      </c>
    </row>
    <row r="39" spans="1:11" ht="17.100000000000001" customHeight="1" x14ac:dyDescent="0.25">
      <c r="A39" s="372">
        <v>33</v>
      </c>
      <c r="B39" s="147" t="s">
        <v>273</v>
      </c>
      <c r="C39" s="516"/>
      <c r="D39" s="204">
        <v>2375000</v>
      </c>
      <c r="E39" s="204">
        <f t="shared" si="3"/>
        <v>0</v>
      </c>
      <c r="F39" s="571">
        <v>2</v>
      </c>
      <c r="G39" s="204">
        <v>1960000</v>
      </c>
      <c r="H39" s="204">
        <f t="shared" si="1"/>
        <v>3920000</v>
      </c>
      <c r="I39" s="571"/>
      <c r="J39" s="204">
        <v>1078870</v>
      </c>
      <c r="K39" s="204">
        <f t="shared" si="2"/>
        <v>0</v>
      </c>
    </row>
    <row r="40" spans="1:11" ht="17.100000000000001" customHeight="1" x14ac:dyDescent="0.25">
      <c r="A40" s="372">
        <v>34</v>
      </c>
      <c r="B40" s="147" t="s">
        <v>274</v>
      </c>
      <c r="C40" s="516"/>
      <c r="D40" s="204">
        <v>2375000</v>
      </c>
      <c r="E40" s="204">
        <f t="shared" si="3"/>
        <v>0</v>
      </c>
      <c r="F40" s="571">
        <v>2</v>
      </c>
      <c r="G40" s="204">
        <v>1960000</v>
      </c>
      <c r="H40" s="204">
        <f t="shared" si="1"/>
        <v>3920000</v>
      </c>
      <c r="I40" s="571"/>
      <c r="J40" s="204">
        <v>1078870</v>
      </c>
      <c r="K40" s="204">
        <f t="shared" si="2"/>
        <v>0</v>
      </c>
    </row>
    <row r="41" spans="1:11" ht="17.100000000000001" customHeight="1" x14ac:dyDescent="0.25">
      <c r="A41" s="372">
        <v>35</v>
      </c>
      <c r="B41" s="147" t="s">
        <v>275</v>
      </c>
      <c r="C41" s="516"/>
      <c r="D41" s="204">
        <v>2375000</v>
      </c>
      <c r="E41" s="204">
        <f t="shared" si="3"/>
        <v>0</v>
      </c>
      <c r="F41" s="571">
        <v>2</v>
      </c>
      <c r="G41" s="204">
        <v>1960000</v>
      </c>
      <c r="H41" s="204">
        <f t="shared" si="1"/>
        <v>3920000</v>
      </c>
      <c r="I41" s="571"/>
      <c r="J41" s="204">
        <v>1078870</v>
      </c>
      <c r="K41" s="204">
        <f t="shared" si="2"/>
        <v>0</v>
      </c>
    </row>
    <row r="42" spans="1:11" ht="17.100000000000001" customHeight="1" x14ac:dyDescent="0.25">
      <c r="A42" s="372">
        <v>36</v>
      </c>
      <c r="B42" s="147" t="s">
        <v>296</v>
      </c>
      <c r="C42" s="516"/>
      <c r="D42" s="204">
        <v>2375000</v>
      </c>
      <c r="E42" s="204">
        <f t="shared" si="3"/>
        <v>0</v>
      </c>
      <c r="F42" s="571">
        <v>10</v>
      </c>
      <c r="G42" s="204">
        <v>1960000</v>
      </c>
      <c r="H42" s="204">
        <f t="shared" si="1"/>
        <v>19600000</v>
      </c>
      <c r="I42" s="571"/>
      <c r="J42" s="204">
        <v>1078870</v>
      </c>
      <c r="K42" s="204">
        <f t="shared" si="2"/>
        <v>0</v>
      </c>
    </row>
    <row r="43" spans="1:11" ht="17.100000000000001" customHeight="1" x14ac:dyDescent="0.25">
      <c r="A43" s="372">
        <v>37</v>
      </c>
      <c r="B43" s="147" t="s">
        <v>277</v>
      </c>
      <c r="C43" s="516"/>
      <c r="D43" s="204">
        <v>2375000</v>
      </c>
      <c r="E43" s="204">
        <f t="shared" si="3"/>
        <v>0</v>
      </c>
      <c r="F43" s="571">
        <v>2</v>
      </c>
      <c r="G43" s="204">
        <v>1960000</v>
      </c>
      <c r="H43" s="204">
        <f t="shared" si="1"/>
        <v>3920000</v>
      </c>
      <c r="I43" s="571"/>
      <c r="J43" s="204">
        <v>1078870</v>
      </c>
      <c r="K43" s="204">
        <f t="shared" si="2"/>
        <v>0</v>
      </c>
    </row>
    <row r="44" spans="1:11" ht="17.100000000000001" customHeight="1" x14ac:dyDescent="0.25">
      <c r="A44" s="372">
        <v>38</v>
      </c>
      <c r="B44" s="147" t="s">
        <v>278</v>
      </c>
      <c r="C44" s="516"/>
      <c r="D44" s="204">
        <v>2375000</v>
      </c>
      <c r="E44" s="204">
        <f t="shared" si="3"/>
        <v>0</v>
      </c>
      <c r="F44" s="571">
        <v>2</v>
      </c>
      <c r="G44" s="204">
        <v>1960000</v>
      </c>
      <c r="H44" s="204">
        <f t="shared" si="1"/>
        <v>3920000</v>
      </c>
      <c r="I44" s="571"/>
      <c r="J44" s="204">
        <v>1078870</v>
      </c>
      <c r="K44" s="204">
        <f t="shared" si="2"/>
        <v>0</v>
      </c>
    </row>
    <row r="45" spans="1:11" ht="17.100000000000001" customHeight="1" x14ac:dyDescent="0.25">
      <c r="A45" s="372">
        <v>39</v>
      </c>
      <c r="B45" s="147" t="s">
        <v>279</v>
      </c>
      <c r="C45" s="516"/>
      <c r="D45" s="204">
        <v>2375000</v>
      </c>
      <c r="E45" s="204">
        <f t="shared" si="3"/>
        <v>0</v>
      </c>
      <c r="F45" s="571"/>
      <c r="G45" s="204">
        <v>1960000</v>
      </c>
      <c r="H45" s="204">
        <f t="shared" si="1"/>
        <v>0</v>
      </c>
      <c r="I45" s="571">
        <v>2</v>
      </c>
      <c r="J45" s="204">
        <v>1078870</v>
      </c>
      <c r="K45" s="204">
        <f t="shared" si="2"/>
        <v>2157740</v>
      </c>
    </row>
    <row r="46" spans="1:11" ht="17.100000000000001" customHeight="1" x14ac:dyDescent="0.25">
      <c r="A46" s="372">
        <v>40</v>
      </c>
      <c r="B46" s="147" t="s">
        <v>280</v>
      </c>
      <c r="C46" s="516"/>
      <c r="D46" s="204">
        <v>2375000</v>
      </c>
      <c r="E46" s="204">
        <f t="shared" si="3"/>
        <v>0</v>
      </c>
      <c r="F46" s="571">
        <v>7</v>
      </c>
      <c r="G46" s="204">
        <v>1960000</v>
      </c>
      <c r="H46" s="204">
        <f t="shared" si="1"/>
        <v>13720000</v>
      </c>
      <c r="I46" s="571"/>
      <c r="J46" s="204">
        <v>1078870</v>
      </c>
      <c r="K46" s="204">
        <f t="shared" si="2"/>
        <v>0</v>
      </c>
    </row>
    <row r="47" spans="1:11" ht="17.100000000000001" customHeight="1" x14ac:dyDescent="0.25">
      <c r="A47" s="872" t="s">
        <v>284</v>
      </c>
      <c r="B47" s="872"/>
      <c r="C47" s="872">
        <f>SUM(C7:C46)</f>
        <v>2</v>
      </c>
      <c r="D47" s="151"/>
      <c r="E47" s="151">
        <f>SUM(E7:E46)</f>
        <v>4750000</v>
      </c>
      <c r="F47" s="992">
        <f>SUM(F7:F46)</f>
        <v>89</v>
      </c>
      <c r="G47" s="373"/>
      <c r="H47" s="196">
        <f>SUM(H7:H46)</f>
        <v>174440000</v>
      </c>
      <c r="I47" s="992">
        <f>SUM(I7:I46)</f>
        <v>11</v>
      </c>
      <c r="J47" s="373"/>
      <c r="K47" s="196">
        <f>SUM(K7:K46)</f>
        <v>11867570</v>
      </c>
    </row>
    <row r="48" spans="1:11" ht="17.100000000000001" customHeight="1" x14ac:dyDescent="0.25">
      <c r="A48" s="867" t="s">
        <v>159</v>
      </c>
      <c r="B48" s="867"/>
      <c r="C48" s="872"/>
      <c r="D48" s="373"/>
      <c r="E48" s="196">
        <f>E47*16%</f>
        <v>760000</v>
      </c>
      <c r="F48" s="992"/>
      <c r="G48" s="373"/>
      <c r="H48" s="196">
        <f>H47*16%</f>
        <v>27910400</v>
      </c>
      <c r="I48" s="992"/>
      <c r="J48" s="373"/>
      <c r="K48" s="196">
        <f>K47*16%</f>
        <v>1898811.2</v>
      </c>
    </row>
    <row r="49" spans="1:11" ht="17.100000000000001" customHeight="1" x14ac:dyDescent="0.25">
      <c r="A49" s="867" t="s">
        <v>298</v>
      </c>
      <c r="B49" s="867"/>
      <c r="C49" s="872"/>
      <c r="D49" s="373"/>
      <c r="E49" s="196">
        <f>E47+E48</f>
        <v>5510000</v>
      </c>
      <c r="F49" s="992"/>
      <c r="G49" s="373"/>
      <c r="H49" s="196">
        <f>H47+H48</f>
        <v>202350400</v>
      </c>
      <c r="I49" s="992"/>
      <c r="J49" s="373"/>
      <c r="K49" s="196">
        <f>K47+K48</f>
        <v>13766381.199999999</v>
      </c>
    </row>
    <row r="50" spans="1:11" ht="17.100000000000001" customHeight="1" x14ac:dyDescent="0.25">
      <c r="A50" s="911"/>
      <c r="B50" s="911"/>
      <c r="C50" s="911"/>
      <c r="D50" s="911"/>
      <c r="E50" s="911"/>
      <c r="F50" s="911"/>
      <c r="G50" s="911"/>
      <c r="H50" s="207" t="s">
        <v>161</v>
      </c>
      <c r="I50" s="207"/>
      <c r="J50" s="192"/>
      <c r="K50" s="196">
        <f>E49+H49+K49</f>
        <v>221626781.19999999</v>
      </c>
    </row>
  </sheetData>
  <mergeCells count="14">
    <mergeCell ref="A3:K3"/>
    <mergeCell ref="A4:A6"/>
    <mergeCell ref="B4:B6"/>
    <mergeCell ref="C4:K4"/>
    <mergeCell ref="C5:E5"/>
    <mergeCell ref="F5:H5"/>
    <mergeCell ref="I5:K5"/>
    <mergeCell ref="A50:G50"/>
    <mergeCell ref="A47:B47"/>
    <mergeCell ref="C47:C49"/>
    <mergeCell ref="F47:F49"/>
    <mergeCell ref="I47:I49"/>
    <mergeCell ref="A48:B48"/>
    <mergeCell ref="A49:B49"/>
  </mergeCells>
  <printOptions horizontalCentered="1"/>
  <pageMargins left="0.7" right="0.7" top="0.75" bottom="0.75" header="0.3" footer="0.3"/>
  <pageSetup paperSize="5" scale="8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rgb="FF00B0F0"/>
  </sheetPr>
  <dimension ref="A3:E48"/>
  <sheetViews>
    <sheetView view="pageLayout" workbookViewId="0">
      <selection sqref="A1:A1048576"/>
    </sheetView>
  </sheetViews>
  <sheetFormatPr baseColWidth="10" defaultRowHeight="15" x14ac:dyDescent="0.25"/>
  <cols>
    <col min="1" max="1" width="6.28515625" style="608" customWidth="1"/>
    <col min="2" max="2" width="20.7109375" style="367" customWidth="1"/>
    <col min="3" max="3" width="11.5703125" style="367" bestFit="1" customWidth="1"/>
    <col min="4" max="4" width="14" style="367" customWidth="1"/>
    <col min="5" max="5" width="12.7109375" style="367" customWidth="1"/>
    <col min="6" max="16384" width="11.42578125" style="182"/>
  </cols>
  <sheetData>
    <row r="3" spans="1:5" x14ac:dyDescent="0.25">
      <c r="A3" s="867" t="s">
        <v>367</v>
      </c>
      <c r="B3" s="867"/>
      <c r="C3" s="867"/>
      <c r="D3" s="867"/>
      <c r="E3" s="867"/>
    </row>
    <row r="4" spans="1:5" ht="30.75" customHeight="1" x14ac:dyDescent="0.25">
      <c r="A4" s="872" t="s">
        <v>1407</v>
      </c>
      <c r="B4" s="872"/>
      <c r="C4" s="872"/>
      <c r="D4" s="872"/>
      <c r="E4" s="872"/>
    </row>
    <row r="5" spans="1:5" x14ac:dyDescent="0.25">
      <c r="A5" s="872" t="s">
        <v>368</v>
      </c>
      <c r="B5" s="872" t="s">
        <v>287</v>
      </c>
      <c r="C5" s="872" t="s">
        <v>527</v>
      </c>
      <c r="D5" s="872" t="s">
        <v>528</v>
      </c>
      <c r="E5" s="872" t="s">
        <v>529</v>
      </c>
    </row>
    <row r="6" spans="1:5" ht="54.75" customHeight="1" x14ac:dyDescent="0.25">
      <c r="A6" s="872"/>
      <c r="B6" s="872"/>
      <c r="C6" s="872"/>
      <c r="D6" s="872"/>
      <c r="E6" s="872"/>
    </row>
    <row r="7" spans="1:5" x14ac:dyDescent="0.25">
      <c r="A7" s="345">
        <v>1</v>
      </c>
      <c r="B7" s="373" t="s">
        <v>241</v>
      </c>
      <c r="C7" s="204">
        <v>2258048.1</v>
      </c>
      <c r="D7" s="204">
        <v>434259</v>
      </c>
      <c r="E7" s="204">
        <v>2692308.15</v>
      </c>
    </row>
    <row r="8" spans="1:5" x14ac:dyDescent="0.25">
      <c r="A8" s="345">
        <v>2</v>
      </c>
      <c r="B8" s="373" t="s">
        <v>242</v>
      </c>
      <c r="C8" s="204">
        <v>2258048.1</v>
      </c>
      <c r="D8" s="204">
        <v>434259</v>
      </c>
      <c r="E8" s="204">
        <v>2692308.15</v>
      </c>
    </row>
    <row r="9" spans="1:5" x14ac:dyDescent="0.25">
      <c r="A9" s="345">
        <v>3</v>
      </c>
      <c r="B9" s="373" t="s">
        <v>530</v>
      </c>
      <c r="C9" s="204">
        <v>2258048.1</v>
      </c>
      <c r="D9" s="204">
        <v>434259</v>
      </c>
      <c r="E9" s="204">
        <v>2692308.15</v>
      </c>
    </row>
    <row r="10" spans="1:5" x14ac:dyDescent="0.25">
      <c r="A10" s="345">
        <v>4</v>
      </c>
      <c r="B10" s="373" t="s">
        <v>244</v>
      </c>
      <c r="C10" s="204">
        <v>2258048.1</v>
      </c>
      <c r="D10" s="204">
        <v>434259</v>
      </c>
      <c r="E10" s="204">
        <v>2692308.15</v>
      </c>
    </row>
    <row r="11" spans="1:5" x14ac:dyDescent="0.25">
      <c r="A11" s="345">
        <v>5</v>
      </c>
      <c r="B11" s="373" t="s">
        <v>245</v>
      </c>
      <c r="C11" s="204">
        <v>2258048.1</v>
      </c>
      <c r="D11" s="204">
        <v>434259</v>
      </c>
      <c r="E11" s="204">
        <v>2692308.15</v>
      </c>
    </row>
    <row r="12" spans="1:5" x14ac:dyDescent="0.25">
      <c r="A12" s="345">
        <v>6</v>
      </c>
      <c r="B12" s="373" t="s">
        <v>246</v>
      </c>
      <c r="C12" s="204">
        <v>2258048.1</v>
      </c>
      <c r="D12" s="204">
        <v>434259</v>
      </c>
      <c r="E12" s="204">
        <v>2692308.15</v>
      </c>
    </row>
    <row r="13" spans="1:5" x14ac:dyDescent="0.25">
      <c r="A13" s="345">
        <v>7</v>
      </c>
      <c r="B13" s="373" t="s">
        <v>248</v>
      </c>
      <c r="C13" s="204">
        <v>2258048.1</v>
      </c>
      <c r="D13" s="204">
        <v>434259</v>
      </c>
      <c r="E13" s="204">
        <v>2692308.15</v>
      </c>
    </row>
    <row r="14" spans="1:5" x14ac:dyDescent="0.25">
      <c r="A14" s="345">
        <v>8</v>
      </c>
      <c r="B14" s="373" t="s">
        <v>526</v>
      </c>
      <c r="C14" s="204">
        <v>2258048.1</v>
      </c>
      <c r="D14" s="204">
        <v>434259</v>
      </c>
      <c r="E14" s="204">
        <v>2692308.15</v>
      </c>
    </row>
    <row r="15" spans="1:5" x14ac:dyDescent="0.25">
      <c r="A15" s="345">
        <v>9</v>
      </c>
      <c r="B15" s="373" t="s">
        <v>249</v>
      </c>
      <c r="C15" s="204">
        <v>2258048.1</v>
      </c>
      <c r="D15" s="204">
        <v>434259</v>
      </c>
      <c r="E15" s="204">
        <v>2692308.15</v>
      </c>
    </row>
    <row r="16" spans="1:5" x14ac:dyDescent="0.25">
      <c r="A16" s="345">
        <v>10</v>
      </c>
      <c r="B16" s="373" t="s">
        <v>250</v>
      </c>
      <c r="C16" s="204">
        <v>2258048.1</v>
      </c>
      <c r="D16" s="204">
        <v>434259</v>
      </c>
      <c r="E16" s="204">
        <v>2692308.15</v>
      </c>
    </row>
    <row r="17" spans="1:5" x14ac:dyDescent="0.25">
      <c r="A17" s="345">
        <v>11</v>
      </c>
      <c r="B17" s="373" t="s">
        <v>251</v>
      </c>
      <c r="C17" s="204">
        <v>2258048.1</v>
      </c>
      <c r="D17" s="204">
        <v>434259</v>
      </c>
      <c r="E17" s="204">
        <v>2692308.15</v>
      </c>
    </row>
    <row r="18" spans="1:5" x14ac:dyDescent="0.25">
      <c r="A18" s="345">
        <v>12</v>
      </c>
      <c r="B18" s="373" t="s">
        <v>252</v>
      </c>
      <c r="C18" s="204">
        <v>2258048.1</v>
      </c>
      <c r="D18" s="204">
        <v>434259</v>
      </c>
      <c r="E18" s="204">
        <v>2692308.15</v>
      </c>
    </row>
    <row r="19" spans="1:5" x14ac:dyDescent="0.25">
      <c r="A19" s="345">
        <v>13</v>
      </c>
      <c r="B19" s="373" t="s">
        <v>253</v>
      </c>
      <c r="C19" s="204">
        <v>2258048.1</v>
      </c>
      <c r="D19" s="204">
        <v>434259</v>
      </c>
      <c r="E19" s="204">
        <v>2692308.15</v>
      </c>
    </row>
    <row r="20" spans="1:5" x14ac:dyDescent="0.25">
      <c r="A20" s="345">
        <v>14</v>
      </c>
      <c r="B20" s="373" t="s">
        <v>531</v>
      </c>
      <c r="C20" s="204">
        <v>2258048.1</v>
      </c>
      <c r="D20" s="204">
        <v>434259</v>
      </c>
      <c r="E20" s="204">
        <v>2692308.15</v>
      </c>
    </row>
    <row r="21" spans="1:5" x14ac:dyDescent="0.25">
      <c r="A21" s="345">
        <v>15</v>
      </c>
      <c r="B21" s="373" t="s">
        <v>255</v>
      </c>
      <c r="C21" s="204">
        <v>2258048.1</v>
      </c>
      <c r="D21" s="204">
        <v>434259</v>
      </c>
      <c r="E21" s="204">
        <v>2692308.15</v>
      </c>
    </row>
    <row r="22" spans="1:5" x14ac:dyDescent="0.25">
      <c r="A22" s="345">
        <v>16</v>
      </c>
      <c r="B22" s="373" t="s">
        <v>256</v>
      </c>
      <c r="C22" s="204">
        <v>2258048.1</v>
      </c>
      <c r="D22" s="204">
        <v>434259</v>
      </c>
      <c r="E22" s="204">
        <v>2692308.15</v>
      </c>
    </row>
    <row r="23" spans="1:5" x14ac:dyDescent="0.25">
      <c r="A23" s="345">
        <v>17</v>
      </c>
      <c r="B23" s="373" t="s">
        <v>257</v>
      </c>
      <c r="C23" s="204">
        <v>2258048.1</v>
      </c>
      <c r="D23" s="204">
        <v>434259</v>
      </c>
      <c r="E23" s="204">
        <v>2692308.15</v>
      </c>
    </row>
    <row r="24" spans="1:5" x14ac:dyDescent="0.25">
      <c r="A24" s="345">
        <v>18</v>
      </c>
      <c r="B24" s="373" t="s">
        <v>258</v>
      </c>
      <c r="C24" s="204">
        <v>2258048.1</v>
      </c>
      <c r="D24" s="204">
        <v>434259</v>
      </c>
      <c r="E24" s="204">
        <v>2692308.15</v>
      </c>
    </row>
    <row r="25" spans="1:5" x14ac:dyDescent="0.25">
      <c r="A25" s="345">
        <v>19</v>
      </c>
      <c r="B25" s="373" t="s">
        <v>259</v>
      </c>
      <c r="C25" s="204">
        <v>2258048.1</v>
      </c>
      <c r="D25" s="204">
        <v>434259</v>
      </c>
      <c r="E25" s="204">
        <v>2692308.15</v>
      </c>
    </row>
    <row r="26" spans="1:5" x14ac:dyDescent="0.25">
      <c r="A26" s="345">
        <v>20</v>
      </c>
      <c r="B26" s="373" t="s">
        <v>532</v>
      </c>
      <c r="C26" s="204">
        <v>2258048.1</v>
      </c>
      <c r="D26" s="204">
        <v>434259</v>
      </c>
      <c r="E26" s="204">
        <v>2692308.15</v>
      </c>
    </row>
    <row r="27" spans="1:5" x14ac:dyDescent="0.25">
      <c r="A27" s="345">
        <v>21</v>
      </c>
      <c r="B27" s="373" t="s">
        <v>261</v>
      </c>
      <c r="C27" s="204">
        <v>2258048.1</v>
      </c>
      <c r="D27" s="204">
        <v>434259</v>
      </c>
      <c r="E27" s="204">
        <v>2692308.15</v>
      </c>
    </row>
    <row r="28" spans="1:5" x14ac:dyDescent="0.25">
      <c r="A28" s="345">
        <v>22</v>
      </c>
      <c r="B28" s="373" t="s">
        <v>262</v>
      </c>
      <c r="C28" s="204">
        <v>2258048.1</v>
      </c>
      <c r="D28" s="204">
        <v>434259</v>
      </c>
      <c r="E28" s="204">
        <v>2692308.15</v>
      </c>
    </row>
    <row r="29" spans="1:5" x14ac:dyDescent="0.25">
      <c r="A29" s="345">
        <v>23</v>
      </c>
      <c r="B29" s="373" t="s">
        <v>263</v>
      </c>
      <c r="C29" s="204">
        <v>2258048.1</v>
      </c>
      <c r="D29" s="204">
        <v>434259</v>
      </c>
      <c r="E29" s="204">
        <v>2692308.15</v>
      </c>
    </row>
    <row r="30" spans="1:5" x14ac:dyDescent="0.25">
      <c r="A30" s="345">
        <v>24</v>
      </c>
      <c r="B30" s="373" t="s">
        <v>264</v>
      </c>
      <c r="C30" s="204">
        <v>2258048.1</v>
      </c>
      <c r="D30" s="204">
        <v>434259</v>
      </c>
      <c r="E30" s="204">
        <v>2692308.15</v>
      </c>
    </row>
    <row r="31" spans="1:5" x14ac:dyDescent="0.25">
      <c r="A31" s="345">
        <v>25</v>
      </c>
      <c r="B31" s="373" t="s">
        <v>265</v>
      </c>
      <c r="C31" s="204">
        <v>2258048.1</v>
      </c>
      <c r="D31" s="204">
        <v>434259</v>
      </c>
      <c r="E31" s="204">
        <v>2692308.15</v>
      </c>
    </row>
    <row r="32" spans="1:5" x14ac:dyDescent="0.25">
      <c r="A32" s="345">
        <v>26</v>
      </c>
      <c r="B32" s="373" t="s">
        <v>266</v>
      </c>
      <c r="C32" s="204">
        <v>2258048.1</v>
      </c>
      <c r="D32" s="204">
        <v>434259</v>
      </c>
      <c r="E32" s="204">
        <v>2692308.15</v>
      </c>
    </row>
    <row r="33" spans="1:5" x14ac:dyDescent="0.25">
      <c r="A33" s="345">
        <v>27</v>
      </c>
      <c r="B33" s="373" t="s">
        <v>267</v>
      </c>
      <c r="C33" s="204">
        <v>2258048.1</v>
      </c>
      <c r="D33" s="204">
        <v>434259</v>
      </c>
      <c r="E33" s="204">
        <v>2692308.15</v>
      </c>
    </row>
    <row r="34" spans="1:5" x14ac:dyDescent="0.25">
      <c r="A34" s="345">
        <v>28</v>
      </c>
      <c r="B34" s="373" t="s">
        <v>268</v>
      </c>
      <c r="C34" s="204">
        <v>2258048.1</v>
      </c>
      <c r="D34" s="204">
        <v>434259</v>
      </c>
      <c r="E34" s="204">
        <v>2692308.15</v>
      </c>
    </row>
    <row r="35" spans="1:5" x14ac:dyDescent="0.25">
      <c r="A35" s="345">
        <v>29</v>
      </c>
      <c r="B35" s="373" t="s">
        <v>269</v>
      </c>
      <c r="C35" s="204">
        <v>2258048.1</v>
      </c>
      <c r="D35" s="204">
        <v>434259</v>
      </c>
      <c r="E35" s="204">
        <v>2692308.15</v>
      </c>
    </row>
    <row r="36" spans="1:5" x14ac:dyDescent="0.25">
      <c r="A36" s="345">
        <v>30</v>
      </c>
      <c r="B36" s="373" t="s">
        <v>270</v>
      </c>
      <c r="C36" s="204">
        <v>2258048.1</v>
      </c>
      <c r="D36" s="204">
        <v>434259</v>
      </c>
      <c r="E36" s="204">
        <v>2692308.15</v>
      </c>
    </row>
    <row r="37" spans="1:5" x14ac:dyDescent="0.25">
      <c r="A37" s="345">
        <v>31</v>
      </c>
      <c r="B37" s="373" t="s">
        <v>271</v>
      </c>
      <c r="C37" s="204">
        <v>2258048.1</v>
      </c>
      <c r="D37" s="204">
        <v>434259</v>
      </c>
      <c r="E37" s="204">
        <v>2692308.15</v>
      </c>
    </row>
    <row r="38" spans="1:5" x14ac:dyDescent="0.25">
      <c r="A38" s="345">
        <v>32</v>
      </c>
      <c r="B38" s="373" t="s">
        <v>272</v>
      </c>
      <c r="C38" s="204">
        <v>2258048.1</v>
      </c>
      <c r="D38" s="204">
        <v>434259</v>
      </c>
      <c r="E38" s="204">
        <v>2692308.15</v>
      </c>
    </row>
    <row r="39" spans="1:5" x14ac:dyDescent="0.25">
      <c r="A39" s="345">
        <v>33</v>
      </c>
      <c r="B39" s="373" t="s">
        <v>273</v>
      </c>
      <c r="C39" s="204">
        <v>2258048.1</v>
      </c>
      <c r="D39" s="204">
        <v>434259</v>
      </c>
      <c r="E39" s="204">
        <v>2692308.15</v>
      </c>
    </row>
    <row r="40" spans="1:5" x14ac:dyDescent="0.25">
      <c r="A40" s="345">
        <v>34</v>
      </c>
      <c r="B40" s="373" t="s">
        <v>274</v>
      </c>
      <c r="C40" s="204">
        <v>2258048.1</v>
      </c>
      <c r="D40" s="204">
        <v>434259</v>
      </c>
      <c r="E40" s="204">
        <v>2692308.15</v>
      </c>
    </row>
    <row r="41" spans="1:5" x14ac:dyDescent="0.25">
      <c r="A41" s="345">
        <v>35</v>
      </c>
      <c r="B41" s="373" t="s">
        <v>275</v>
      </c>
      <c r="C41" s="204">
        <v>2258048.1</v>
      </c>
      <c r="D41" s="204">
        <v>434259</v>
      </c>
      <c r="E41" s="204">
        <v>2692308.15</v>
      </c>
    </row>
    <row r="42" spans="1:5" x14ac:dyDescent="0.25">
      <c r="A42" s="345">
        <v>36</v>
      </c>
      <c r="B42" s="373" t="s">
        <v>296</v>
      </c>
      <c r="C42" s="204">
        <v>2258048.1</v>
      </c>
      <c r="D42" s="204">
        <v>434259</v>
      </c>
      <c r="E42" s="204">
        <v>2692308.15</v>
      </c>
    </row>
    <row r="43" spans="1:5" x14ac:dyDescent="0.25">
      <c r="A43" s="345">
        <v>37</v>
      </c>
      <c r="B43" s="373" t="s">
        <v>277</v>
      </c>
      <c r="C43" s="204">
        <v>2258048.1</v>
      </c>
      <c r="D43" s="204">
        <v>434259</v>
      </c>
      <c r="E43" s="204">
        <v>2692308.15</v>
      </c>
    </row>
    <row r="44" spans="1:5" x14ac:dyDescent="0.25">
      <c r="A44" s="345">
        <v>38</v>
      </c>
      <c r="B44" s="373" t="s">
        <v>278</v>
      </c>
      <c r="C44" s="204">
        <v>2258048.1</v>
      </c>
      <c r="D44" s="204">
        <v>434259</v>
      </c>
      <c r="E44" s="204">
        <v>2692308.15</v>
      </c>
    </row>
    <row r="45" spans="1:5" x14ac:dyDescent="0.25">
      <c r="A45" s="345">
        <v>39</v>
      </c>
      <c r="B45" s="373" t="s">
        <v>533</v>
      </c>
      <c r="C45" s="204">
        <v>2258048.1</v>
      </c>
      <c r="D45" s="204">
        <v>434259</v>
      </c>
      <c r="E45" s="373">
        <v>0</v>
      </c>
    </row>
    <row r="46" spans="1:5" x14ac:dyDescent="0.25">
      <c r="A46" s="345">
        <v>40</v>
      </c>
      <c r="B46" s="373" t="s">
        <v>280</v>
      </c>
      <c r="C46" s="204">
        <v>0</v>
      </c>
      <c r="D46" s="204">
        <v>0</v>
      </c>
      <c r="E46" s="373">
        <v>0</v>
      </c>
    </row>
    <row r="47" spans="1:5" x14ac:dyDescent="0.25">
      <c r="A47" s="907" t="s">
        <v>297</v>
      </c>
      <c r="B47" s="907"/>
      <c r="C47" s="196">
        <f>SUM(C7:C46)</f>
        <v>88063875.899999976</v>
      </c>
      <c r="D47" s="196">
        <f>SUM(D7:D46)</f>
        <v>16936101</v>
      </c>
      <c r="E47" s="196">
        <f>SUM(E7:E46)</f>
        <v>102307709.70000006</v>
      </c>
    </row>
    <row r="48" spans="1:5" x14ac:dyDescent="0.25">
      <c r="A48" s="182"/>
      <c r="B48" s="605"/>
      <c r="C48" s="960" t="s">
        <v>161</v>
      </c>
      <c r="D48" s="961"/>
      <c r="E48" s="196">
        <f>SUM(C47:E47)</f>
        <v>207307686.60000002</v>
      </c>
    </row>
  </sheetData>
  <mergeCells count="9">
    <mergeCell ref="C48:D48"/>
    <mergeCell ref="A47:B47"/>
    <mergeCell ref="A3:E3"/>
    <mergeCell ref="A4:E4"/>
    <mergeCell ref="A5:A6"/>
    <mergeCell ref="B5:B6"/>
    <mergeCell ref="C5:C6"/>
    <mergeCell ref="D5:D6"/>
    <mergeCell ref="E5:E6"/>
  </mergeCells>
  <printOptions horizontalCentered="1"/>
  <pageMargins left="0.7" right="0.7" top="0.75" bottom="0.75" header="0.3" footer="0.3"/>
  <pageSetup paperSize="5" orientation="portrait" r:id="rId1"/>
  <headerFooter>
    <oddFooter xml:space="preserve">&amp;C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rgb="FF00B0F0"/>
  </sheetPr>
  <dimension ref="A3:E48"/>
  <sheetViews>
    <sheetView view="pageLayout" workbookViewId="0">
      <selection activeCell="B9" sqref="B9"/>
    </sheetView>
  </sheetViews>
  <sheetFormatPr baseColWidth="10" defaultRowHeight="15" x14ac:dyDescent="0.25"/>
  <cols>
    <col min="1" max="1" width="6.28515625" style="250" customWidth="1"/>
    <col min="2" max="2" width="22.140625" style="11" bestFit="1" customWidth="1"/>
    <col min="3" max="4" width="11.5703125" style="11" bestFit="1" customWidth="1"/>
    <col min="5" max="5" width="13" style="11" bestFit="1" customWidth="1"/>
    <col min="6" max="16384" width="11.42578125" style="11"/>
  </cols>
  <sheetData>
    <row r="3" spans="1:5" x14ac:dyDescent="0.25">
      <c r="A3" s="883" t="s">
        <v>367</v>
      </c>
      <c r="B3" s="883"/>
      <c r="C3" s="883"/>
      <c r="D3" s="883"/>
      <c r="E3" s="883"/>
    </row>
    <row r="4" spans="1:5" ht="30.75" customHeight="1" x14ac:dyDescent="0.25">
      <c r="A4" s="872" t="s">
        <v>1408</v>
      </c>
      <c r="B4" s="872"/>
      <c r="C4" s="872"/>
      <c r="D4" s="872"/>
      <c r="E4" s="872"/>
    </row>
    <row r="5" spans="1:5" ht="15" customHeight="1" x14ac:dyDescent="0.25">
      <c r="A5" s="872" t="s">
        <v>368</v>
      </c>
      <c r="B5" s="874" t="s">
        <v>287</v>
      </c>
      <c r="C5" s="874" t="s">
        <v>534</v>
      </c>
      <c r="D5" s="874" t="s">
        <v>535</v>
      </c>
      <c r="E5" s="874" t="s">
        <v>529</v>
      </c>
    </row>
    <row r="6" spans="1:5" ht="31.5" customHeight="1" x14ac:dyDescent="0.25">
      <c r="A6" s="872"/>
      <c r="B6" s="876"/>
      <c r="C6" s="876"/>
      <c r="D6" s="876"/>
      <c r="E6" s="876"/>
    </row>
    <row r="7" spans="1:5" x14ac:dyDescent="0.25">
      <c r="A7" s="516">
        <v>1</v>
      </c>
      <c r="B7" s="148" t="s">
        <v>241</v>
      </c>
      <c r="C7" s="373"/>
      <c r="D7" s="373"/>
      <c r="E7" s="204">
        <f>SUM(C7:D7)</f>
        <v>0</v>
      </c>
    </row>
    <row r="8" spans="1:5" x14ac:dyDescent="0.25">
      <c r="A8" s="516">
        <v>2</v>
      </c>
      <c r="B8" s="148" t="s">
        <v>242</v>
      </c>
      <c r="C8" s="204">
        <v>7000000</v>
      </c>
      <c r="D8" s="204">
        <v>400000</v>
      </c>
      <c r="E8" s="204">
        <f>SUM(C8:D8)</f>
        <v>7400000</v>
      </c>
    </row>
    <row r="9" spans="1:5" x14ac:dyDescent="0.25">
      <c r="A9" s="516">
        <v>3</v>
      </c>
      <c r="B9" s="148" t="s">
        <v>530</v>
      </c>
      <c r="C9" s="373"/>
      <c r="D9" s="373"/>
      <c r="E9" s="204">
        <f t="shared" ref="E9:E46" si="0">SUM(C9:D9)</f>
        <v>0</v>
      </c>
    </row>
    <row r="10" spans="1:5" x14ac:dyDescent="0.25">
      <c r="A10" s="516">
        <v>4</v>
      </c>
      <c r="B10" s="148" t="s">
        <v>244</v>
      </c>
      <c r="C10" s="373"/>
      <c r="D10" s="373"/>
      <c r="E10" s="204">
        <f t="shared" si="0"/>
        <v>0</v>
      </c>
    </row>
    <row r="11" spans="1:5" x14ac:dyDescent="0.25">
      <c r="A11" s="516">
        <v>5</v>
      </c>
      <c r="B11" s="148" t="s">
        <v>245</v>
      </c>
      <c r="C11" s="373"/>
      <c r="D11" s="373"/>
      <c r="E11" s="204">
        <f t="shared" si="0"/>
        <v>0</v>
      </c>
    </row>
    <row r="12" spans="1:5" x14ac:dyDescent="0.25">
      <c r="A12" s="516">
        <v>6</v>
      </c>
      <c r="B12" s="148" t="s">
        <v>246</v>
      </c>
      <c r="C12" s="373"/>
      <c r="D12" s="373"/>
      <c r="E12" s="204">
        <f t="shared" si="0"/>
        <v>0</v>
      </c>
    </row>
    <row r="13" spans="1:5" x14ac:dyDescent="0.25">
      <c r="A13" s="516">
        <v>7</v>
      </c>
      <c r="B13" s="148" t="s">
        <v>248</v>
      </c>
      <c r="C13" s="373"/>
      <c r="D13" s="373"/>
      <c r="E13" s="204">
        <f t="shared" si="0"/>
        <v>0</v>
      </c>
    </row>
    <row r="14" spans="1:5" x14ac:dyDescent="0.25">
      <c r="A14" s="516">
        <v>8</v>
      </c>
      <c r="B14" s="148" t="s">
        <v>526</v>
      </c>
      <c r="C14" s="373"/>
      <c r="D14" s="373"/>
      <c r="E14" s="204">
        <f t="shared" si="0"/>
        <v>0</v>
      </c>
    </row>
    <row r="15" spans="1:5" x14ac:dyDescent="0.25">
      <c r="A15" s="516">
        <v>9</v>
      </c>
      <c r="B15" s="148" t="s">
        <v>249</v>
      </c>
      <c r="C15" s="373"/>
      <c r="D15" s="373"/>
      <c r="E15" s="204">
        <f t="shared" si="0"/>
        <v>0</v>
      </c>
    </row>
    <row r="16" spans="1:5" x14ac:dyDescent="0.25">
      <c r="A16" s="516">
        <v>10</v>
      </c>
      <c r="B16" s="148" t="s">
        <v>250</v>
      </c>
      <c r="C16" s="373"/>
      <c r="D16" s="373"/>
      <c r="E16" s="204">
        <f t="shared" si="0"/>
        <v>0</v>
      </c>
    </row>
    <row r="17" spans="1:5" x14ac:dyDescent="0.25">
      <c r="A17" s="516">
        <v>11</v>
      </c>
      <c r="B17" s="148" t="s">
        <v>251</v>
      </c>
      <c r="C17" s="373"/>
      <c r="D17" s="373"/>
      <c r="E17" s="204">
        <f t="shared" si="0"/>
        <v>0</v>
      </c>
    </row>
    <row r="18" spans="1:5" x14ac:dyDescent="0.25">
      <c r="A18" s="516">
        <v>12</v>
      </c>
      <c r="B18" s="148" t="s">
        <v>252</v>
      </c>
      <c r="C18" s="373"/>
      <c r="D18" s="373"/>
      <c r="E18" s="204">
        <f t="shared" si="0"/>
        <v>0</v>
      </c>
    </row>
    <row r="19" spans="1:5" x14ac:dyDescent="0.25">
      <c r="A19" s="516">
        <v>13</v>
      </c>
      <c r="B19" s="148" t="s">
        <v>253</v>
      </c>
      <c r="C19" s="373"/>
      <c r="D19" s="373"/>
      <c r="E19" s="204">
        <f t="shared" si="0"/>
        <v>0</v>
      </c>
    </row>
    <row r="20" spans="1:5" x14ac:dyDescent="0.25">
      <c r="A20" s="516">
        <v>14</v>
      </c>
      <c r="B20" s="148" t="s">
        <v>531</v>
      </c>
      <c r="C20" s="373"/>
      <c r="D20" s="373"/>
      <c r="E20" s="204">
        <f t="shared" si="0"/>
        <v>0</v>
      </c>
    </row>
    <row r="21" spans="1:5" x14ac:dyDescent="0.25">
      <c r="A21" s="516">
        <v>15</v>
      </c>
      <c r="B21" s="148" t="s">
        <v>255</v>
      </c>
      <c r="C21" s="373"/>
      <c r="D21" s="373"/>
      <c r="E21" s="204">
        <f t="shared" si="0"/>
        <v>0</v>
      </c>
    </row>
    <row r="22" spans="1:5" x14ac:dyDescent="0.25">
      <c r="A22" s="516">
        <v>16</v>
      </c>
      <c r="B22" s="148" t="s">
        <v>256</v>
      </c>
      <c r="C22" s="373"/>
      <c r="D22" s="373"/>
      <c r="E22" s="204">
        <f t="shared" si="0"/>
        <v>0</v>
      </c>
    </row>
    <row r="23" spans="1:5" x14ac:dyDescent="0.25">
      <c r="A23" s="516">
        <v>17</v>
      </c>
      <c r="B23" s="148" t="s">
        <v>257</v>
      </c>
      <c r="C23" s="373"/>
      <c r="D23" s="373"/>
      <c r="E23" s="204">
        <f t="shared" si="0"/>
        <v>0</v>
      </c>
    </row>
    <row r="24" spans="1:5" x14ac:dyDescent="0.25">
      <c r="A24" s="516">
        <v>18</v>
      </c>
      <c r="B24" s="148" t="s">
        <v>258</v>
      </c>
      <c r="C24" s="373"/>
      <c r="D24" s="373"/>
      <c r="E24" s="204">
        <f t="shared" si="0"/>
        <v>0</v>
      </c>
    </row>
    <row r="25" spans="1:5" x14ac:dyDescent="0.25">
      <c r="A25" s="516">
        <v>19</v>
      </c>
      <c r="B25" s="148" t="s">
        <v>259</v>
      </c>
      <c r="C25" s="204">
        <v>7000000</v>
      </c>
      <c r="D25" s="204">
        <v>400000</v>
      </c>
      <c r="E25" s="204">
        <f t="shared" si="0"/>
        <v>7400000</v>
      </c>
    </row>
    <row r="26" spans="1:5" x14ac:dyDescent="0.25">
      <c r="A26" s="516">
        <v>20</v>
      </c>
      <c r="B26" s="148" t="s">
        <v>532</v>
      </c>
      <c r="C26" s="373"/>
      <c r="D26" s="373"/>
      <c r="E26" s="204">
        <f t="shared" si="0"/>
        <v>0</v>
      </c>
    </row>
    <row r="27" spans="1:5" x14ac:dyDescent="0.25">
      <c r="A27" s="516">
        <v>21</v>
      </c>
      <c r="B27" s="148" t="s">
        <v>261</v>
      </c>
      <c r="C27" s="373"/>
      <c r="D27" s="373"/>
      <c r="E27" s="204">
        <f t="shared" si="0"/>
        <v>0</v>
      </c>
    </row>
    <row r="28" spans="1:5" x14ac:dyDescent="0.25">
      <c r="A28" s="516">
        <v>22</v>
      </c>
      <c r="B28" s="148" t="s">
        <v>262</v>
      </c>
      <c r="C28" s="373"/>
      <c r="D28" s="373"/>
      <c r="E28" s="204">
        <f t="shared" si="0"/>
        <v>0</v>
      </c>
    </row>
    <row r="29" spans="1:5" x14ac:dyDescent="0.25">
      <c r="A29" s="516">
        <v>23</v>
      </c>
      <c r="B29" s="148" t="s">
        <v>263</v>
      </c>
      <c r="C29" s="373"/>
      <c r="D29" s="373"/>
      <c r="E29" s="204">
        <f t="shared" si="0"/>
        <v>0</v>
      </c>
    </row>
    <row r="30" spans="1:5" x14ac:dyDescent="0.25">
      <c r="A30" s="516">
        <v>24</v>
      </c>
      <c r="B30" s="148" t="s">
        <v>264</v>
      </c>
      <c r="C30" s="373"/>
      <c r="D30" s="373"/>
      <c r="E30" s="204">
        <f t="shared" si="0"/>
        <v>0</v>
      </c>
    </row>
    <row r="31" spans="1:5" x14ac:dyDescent="0.25">
      <c r="A31" s="516">
        <v>25</v>
      </c>
      <c r="B31" s="148" t="s">
        <v>265</v>
      </c>
      <c r="C31" s="204">
        <v>7000000</v>
      </c>
      <c r="D31" s="204">
        <v>400000</v>
      </c>
      <c r="E31" s="204">
        <f t="shared" si="0"/>
        <v>7400000</v>
      </c>
    </row>
    <row r="32" spans="1:5" x14ac:dyDescent="0.25">
      <c r="A32" s="516">
        <v>26</v>
      </c>
      <c r="B32" s="148" t="s">
        <v>266</v>
      </c>
      <c r="C32" s="373"/>
      <c r="D32" s="373"/>
      <c r="E32" s="204">
        <f t="shared" si="0"/>
        <v>0</v>
      </c>
    </row>
    <row r="33" spans="1:5" x14ac:dyDescent="0.25">
      <c r="A33" s="516">
        <v>27</v>
      </c>
      <c r="B33" s="148" t="s">
        <v>267</v>
      </c>
      <c r="C33" s="373"/>
      <c r="D33" s="373"/>
      <c r="E33" s="204">
        <f t="shared" si="0"/>
        <v>0</v>
      </c>
    </row>
    <row r="34" spans="1:5" x14ac:dyDescent="0.25">
      <c r="A34" s="516">
        <v>28</v>
      </c>
      <c r="B34" s="148" t="s">
        <v>268</v>
      </c>
      <c r="C34" s="373"/>
      <c r="D34" s="373"/>
      <c r="E34" s="204">
        <f t="shared" si="0"/>
        <v>0</v>
      </c>
    </row>
    <row r="35" spans="1:5" x14ac:dyDescent="0.25">
      <c r="A35" s="516">
        <v>29</v>
      </c>
      <c r="B35" s="148" t="s">
        <v>269</v>
      </c>
      <c r="C35" s="373"/>
      <c r="D35" s="373"/>
      <c r="E35" s="204">
        <f t="shared" si="0"/>
        <v>0</v>
      </c>
    </row>
    <row r="36" spans="1:5" x14ac:dyDescent="0.25">
      <c r="A36" s="516">
        <v>30</v>
      </c>
      <c r="B36" s="148" t="s">
        <v>270</v>
      </c>
      <c r="C36" s="373"/>
      <c r="D36" s="373"/>
      <c r="E36" s="204">
        <f t="shared" si="0"/>
        <v>0</v>
      </c>
    </row>
    <row r="37" spans="1:5" x14ac:dyDescent="0.25">
      <c r="A37" s="516">
        <v>31</v>
      </c>
      <c r="B37" s="148" t="s">
        <v>271</v>
      </c>
      <c r="C37" s="373"/>
      <c r="D37" s="373"/>
      <c r="E37" s="204">
        <f t="shared" si="0"/>
        <v>0</v>
      </c>
    </row>
    <row r="38" spans="1:5" x14ac:dyDescent="0.25">
      <c r="A38" s="516">
        <v>32</v>
      </c>
      <c r="B38" s="148" t="s">
        <v>272</v>
      </c>
      <c r="C38" s="373"/>
      <c r="D38" s="373"/>
      <c r="E38" s="204">
        <f t="shared" si="0"/>
        <v>0</v>
      </c>
    </row>
    <row r="39" spans="1:5" x14ac:dyDescent="0.25">
      <c r="A39" s="516">
        <v>33</v>
      </c>
      <c r="B39" s="148" t="s">
        <v>273</v>
      </c>
      <c r="C39" s="373"/>
      <c r="D39" s="373"/>
      <c r="E39" s="204">
        <f t="shared" si="0"/>
        <v>0</v>
      </c>
    </row>
    <row r="40" spans="1:5" x14ac:dyDescent="0.25">
      <c r="A40" s="516">
        <v>34</v>
      </c>
      <c r="B40" s="148" t="s">
        <v>274</v>
      </c>
      <c r="C40" s="373"/>
      <c r="D40" s="373"/>
      <c r="E40" s="204">
        <f t="shared" si="0"/>
        <v>0</v>
      </c>
    </row>
    <row r="41" spans="1:5" x14ac:dyDescent="0.25">
      <c r="A41" s="516">
        <v>35</v>
      </c>
      <c r="B41" s="148" t="s">
        <v>275</v>
      </c>
      <c r="C41" s="373"/>
      <c r="D41" s="373"/>
      <c r="E41" s="204">
        <f t="shared" si="0"/>
        <v>0</v>
      </c>
    </row>
    <row r="42" spans="1:5" x14ac:dyDescent="0.25">
      <c r="A42" s="516">
        <v>36</v>
      </c>
      <c r="B42" s="148" t="s">
        <v>296</v>
      </c>
      <c r="C42" s="204">
        <v>7000000</v>
      </c>
      <c r="D42" s="204">
        <v>400000</v>
      </c>
      <c r="E42" s="204">
        <f t="shared" si="0"/>
        <v>7400000</v>
      </c>
    </row>
    <row r="43" spans="1:5" x14ac:dyDescent="0.25">
      <c r="A43" s="516">
        <v>37</v>
      </c>
      <c r="B43" s="148" t="s">
        <v>277</v>
      </c>
      <c r="C43" s="204">
        <v>7000000</v>
      </c>
      <c r="D43" s="204">
        <v>400000</v>
      </c>
      <c r="E43" s="204">
        <f t="shared" si="0"/>
        <v>7400000</v>
      </c>
    </row>
    <row r="44" spans="1:5" x14ac:dyDescent="0.25">
      <c r="A44" s="516">
        <v>38</v>
      </c>
      <c r="B44" s="148" t="s">
        <v>278</v>
      </c>
      <c r="C44" s="204">
        <v>7000000</v>
      </c>
      <c r="D44" s="204">
        <v>400000</v>
      </c>
      <c r="E44" s="204">
        <f t="shared" si="0"/>
        <v>7400000</v>
      </c>
    </row>
    <row r="45" spans="1:5" x14ac:dyDescent="0.25">
      <c r="A45" s="516">
        <v>39</v>
      </c>
      <c r="B45" s="148" t="s">
        <v>533</v>
      </c>
      <c r="C45" s="373"/>
      <c r="D45" s="373"/>
      <c r="E45" s="204">
        <f t="shared" si="0"/>
        <v>0</v>
      </c>
    </row>
    <row r="46" spans="1:5" x14ac:dyDescent="0.25">
      <c r="A46" s="516">
        <v>40</v>
      </c>
      <c r="B46" s="148" t="s">
        <v>280</v>
      </c>
      <c r="C46" s="373"/>
      <c r="D46" s="373"/>
      <c r="E46" s="204">
        <f t="shared" si="0"/>
        <v>0</v>
      </c>
    </row>
    <row r="47" spans="1:5" x14ac:dyDescent="0.25">
      <c r="A47" s="867" t="s">
        <v>297</v>
      </c>
      <c r="B47" s="867"/>
      <c r="C47" s="196">
        <f>SUM(C7:C46)</f>
        <v>42000000</v>
      </c>
      <c r="D47" s="196">
        <f>SUM(D7:D46)</f>
        <v>2400000</v>
      </c>
      <c r="E47" s="196">
        <f>SUM(E7:E46)</f>
        <v>44400000</v>
      </c>
    </row>
    <row r="48" spans="1:5" x14ac:dyDescent="0.25">
      <c r="A48" s="994"/>
      <c r="B48" s="995"/>
      <c r="C48" s="993" t="s">
        <v>161</v>
      </c>
      <c r="D48" s="993"/>
      <c r="E48" s="196">
        <f>E47</f>
        <v>44400000</v>
      </c>
    </row>
  </sheetData>
  <mergeCells count="10">
    <mergeCell ref="A47:B47"/>
    <mergeCell ref="C48:D48"/>
    <mergeCell ref="A48:B48"/>
    <mergeCell ref="A3:E3"/>
    <mergeCell ref="A4:E4"/>
    <mergeCell ref="A5:A6"/>
    <mergeCell ref="B5:B6"/>
    <mergeCell ref="C5:C6"/>
    <mergeCell ref="D5:D6"/>
    <mergeCell ref="E5:E6"/>
  </mergeCells>
  <printOptions horizontalCentered="1"/>
  <pageMargins left="0.7" right="0.7" top="0.31" bottom="1.81" header="0.3" footer="1.29"/>
  <pageSetup paperSize="5" orientation="portrait" r:id="rId1"/>
  <headerFooter>
    <oddFooter xml:space="preserve">&amp;C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rgb="FF00B0F0"/>
  </sheetPr>
  <dimension ref="A1:D49"/>
  <sheetViews>
    <sheetView view="pageLayout" workbookViewId="0">
      <selection activeCell="A4" sqref="A4:D4"/>
    </sheetView>
  </sheetViews>
  <sheetFormatPr baseColWidth="10" defaultRowHeight="15" x14ac:dyDescent="0.25"/>
  <cols>
    <col min="1" max="1" width="5.7109375" style="262" customWidth="1"/>
    <col min="2" max="2" width="22.140625" bestFit="1" customWidth="1"/>
    <col min="3" max="3" width="14.140625" customWidth="1"/>
    <col min="4" max="4" width="11.5703125" bestFit="1" customWidth="1"/>
  </cols>
  <sheetData>
    <row r="1" spans="1:4" s="113" customFormat="1" x14ac:dyDescent="0.25">
      <c r="A1" s="262"/>
    </row>
    <row r="2" spans="1:4" s="113" customFormat="1" x14ac:dyDescent="0.25">
      <c r="A2" s="262"/>
    </row>
    <row r="3" spans="1:4" x14ac:dyDescent="0.25">
      <c r="A3" s="883" t="s">
        <v>367</v>
      </c>
      <c r="B3" s="883"/>
      <c r="C3" s="883"/>
      <c r="D3" s="883"/>
    </row>
    <row r="4" spans="1:4" ht="45.75" customHeight="1" x14ac:dyDescent="0.25">
      <c r="A4" s="872" t="s">
        <v>1409</v>
      </c>
      <c r="B4" s="872"/>
      <c r="C4" s="872"/>
      <c r="D4" s="872"/>
    </row>
    <row r="5" spans="1:4" ht="15" customHeight="1" x14ac:dyDescent="0.25">
      <c r="A5" s="872" t="s">
        <v>368</v>
      </c>
      <c r="B5" s="872" t="s">
        <v>287</v>
      </c>
      <c r="C5" s="872" t="s">
        <v>536</v>
      </c>
      <c r="D5" s="874" t="s">
        <v>529</v>
      </c>
    </row>
    <row r="6" spans="1:4" ht="30" customHeight="1" x14ac:dyDescent="0.25">
      <c r="A6" s="872"/>
      <c r="B6" s="872"/>
      <c r="C6" s="872"/>
      <c r="D6" s="876"/>
    </row>
    <row r="7" spans="1:4" x14ac:dyDescent="0.25">
      <c r="A7" s="516">
        <v>1</v>
      </c>
      <c r="B7" s="148" t="s">
        <v>241</v>
      </c>
      <c r="C7" s="204">
        <v>172224</v>
      </c>
      <c r="D7" s="204">
        <f>C7</f>
        <v>172224</v>
      </c>
    </row>
    <row r="8" spans="1:4" x14ac:dyDescent="0.25">
      <c r="A8" s="516">
        <v>2</v>
      </c>
      <c r="B8" s="148" t="s">
        <v>242</v>
      </c>
      <c r="C8" s="204">
        <v>902370</v>
      </c>
      <c r="D8" s="204">
        <f>C8</f>
        <v>902370</v>
      </c>
    </row>
    <row r="9" spans="1:4" x14ac:dyDescent="0.25">
      <c r="A9" s="516">
        <v>3</v>
      </c>
      <c r="B9" s="148" t="s">
        <v>530</v>
      </c>
      <c r="C9" s="204">
        <v>172224</v>
      </c>
      <c r="D9" s="204">
        <f t="shared" ref="D9:D46" si="0">C9</f>
        <v>172224</v>
      </c>
    </row>
    <row r="10" spans="1:4" x14ac:dyDescent="0.25">
      <c r="A10" s="516">
        <v>4</v>
      </c>
      <c r="B10" s="148" t="s">
        <v>244</v>
      </c>
      <c r="C10" s="204">
        <v>172224</v>
      </c>
      <c r="D10" s="204">
        <f t="shared" si="0"/>
        <v>172224</v>
      </c>
    </row>
    <row r="11" spans="1:4" x14ac:dyDescent="0.25">
      <c r="A11" s="516">
        <v>5</v>
      </c>
      <c r="B11" s="148" t="s">
        <v>245</v>
      </c>
      <c r="C11" s="204">
        <v>172224</v>
      </c>
      <c r="D11" s="204">
        <f t="shared" si="0"/>
        <v>172224</v>
      </c>
    </row>
    <row r="12" spans="1:4" x14ac:dyDescent="0.25">
      <c r="A12" s="516">
        <v>6</v>
      </c>
      <c r="B12" s="148" t="s">
        <v>246</v>
      </c>
      <c r="C12" s="204">
        <v>172224</v>
      </c>
      <c r="D12" s="204">
        <f t="shared" si="0"/>
        <v>172224</v>
      </c>
    </row>
    <row r="13" spans="1:4" x14ac:dyDescent="0.25">
      <c r="A13" s="516">
        <v>7</v>
      </c>
      <c r="B13" s="148" t="s">
        <v>248</v>
      </c>
      <c r="C13" s="204">
        <v>172224</v>
      </c>
      <c r="D13" s="204">
        <f t="shared" si="0"/>
        <v>172224</v>
      </c>
    </row>
    <row r="14" spans="1:4" x14ac:dyDescent="0.25">
      <c r="A14" s="516">
        <v>8</v>
      </c>
      <c r="B14" s="148" t="s">
        <v>526</v>
      </c>
      <c r="C14" s="204">
        <v>172224</v>
      </c>
      <c r="D14" s="204">
        <f t="shared" si="0"/>
        <v>172224</v>
      </c>
    </row>
    <row r="15" spans="1:4" x14ac:dyDescent="0.25">
      <c r="A15" s="516">
        <v>9</v>
      </c>
      <c r="B15" s="148" t="s">
        <v>249</v>
      </c>
      <c r="C15" s="204">
        <v>172224</v>
      </c>
      <c r="D15" s="204">
        <f t="shared" si="0"/>
        <v>172224</v>
      </c>
    </row>
    <row r="16" spans="1:4" x14ac:dyDescent="0.25">
      <c r="A16" s="516">
        <v>10</v>
      </c>
      <c r="B16" s="148" t="s">
        <v>250</v>
      </c>
      <c r="C16" s="204">
        <v>172224</v>
      </c>
      <c r="D16" s="204">
        <f t="shared" si="0"/>
        <v>172224</v>
      </c>
    </row>
    <row r="17" spans="1:4" x14ac:dyDescent="0.25">
      <c r="A17" s="516">
        <v>11</v>
      </c>
      <c r="B17" s="148" t="s">
        <v>251</v>
      </c>
      <c r="C17" s="204">
        <v>172224</v>
      </c>
      <c r="D17" s="204">
        <f t="shared" si="0"/>
        <v>172224</v>
      </c>
    </row>
    <row r="18" spans="1:4" x14ac:dyDescent="0.25">
      <c r="A18" s="516">
        <v>12</v>
      </c>
      <c r="B18" s="148" t="s">
        <v>252</v>
      </c>
      <c r="C18" s="204">
        <v>172224</v>
      </c>
      <c r="D18" s="204">
        <f t="shared" si="0"/>
        <v>172224</v>
      </c>
    </row>
    <row r="19" spans="1:4" x14ac:dyDescent="0.25">
      <c r="A19" s="516">
        <v>13</v>
      </c>
      <c r="B19" s="148" t="s">
        <v>253</v>
      </c>
      <c r="C19" s="204">
        <v>172224</v>
      </c>
      <c r="D19" s="204">
        <f t="shared" si="0"/>
        <v>172224</v>
      </c>
    </row>
    <row r="20" spans="1:4" x14ac:dyDescent="0.25">
      <c r="A20" s="516">
        <v>14</v>
      </c>
      <c r="B20" s="148" t="s">
        <v>531</v>
      </c>
      <c r="C20" s="204">
        <v>172224</v>
      </c>
      <c r="D20" s="204">
        <f t="shared" si="0"/>
        <v>172224</v>
      </c>
    </row>
    <row r="21" spans="1:4" x14ac:dyDescent="0.25">
      <c r="A21" s="516">
        <v>15</v>
      </c>
      <c r="B21" s="148" t="s">
        <v>255</v>
      </c>
      <c r="C21" s="204">
        <v>172224</v>
      </c>
      <c r="D21" s="204">
        <f t="shared" si="0"/>
        <v>172224</v>
      </c>
    </row>
    <row r="22" spans="1:4" x14ac:dyDescent="0.25">
      <c r="A22" s="516">
        <v>16</v>
      </c>
      <c r="B22" s="148" t="s">
        <v>256</v>
      </c>
      <c r="C22" s="204">
        <v>172224</v>
      </c>
      <c r="D22" s="204">
        <f t="shared" si="0"/>
        <v>172224</v>
      </c>
    </row>
    <row r="23" spans="1:4" x14ac:dyDescent="0.25">
      <c r="A23" s="516">
        <v>17</v>
      </c>
      <c r="B23" s="148" t="s">
        <v>257</v>
      </c>
      <c r="C23" s="204">
        <v>172224</v>
      </c>
      <c r="D23" s="204">
        <f t="shared" si="0"/>
        <v>172224</v>
      </c>
    </row>
    <row r="24" spans="1:4" x14ac:dyDescent="0.25">
      <c r="A24" s="516">
        <v>18</v>
      </c>
      <c r="B24" s="148" t="s">
        <v>258</v>
      </c>
      <c r="C24" s="204">
        <v>172224</v>
      </c>
      <c r="D24" s="204">
        <f t="shared" si="0"/>
        <v>172224</v>
      </c>
    </row>
    <row r="25" spans="1:4" x14ac:dyDescent="0.25">
      <c r="A25" s="516">
        <v>19</v>
      </c>
      <c r="B25" s="148" t="s">
        <v>259</v>
      </c>
      <c r="C25" s="204">
        <v>902373</v>
      </c>
      <c r="D25" s="204">
        <f t="shared" si="0"/>
        <v>902373</v>
      </c>
    </row>
    <row r="26" spans="1:4" x14ac:dyDescent="0.25">
      <c r="A26" s="516">
        <v>20</v>
      </c>
      <c r="B26" s="148" t="s">
        <v>532</v>
      </c>
      <c r="C26" s="204">
        <v>172224</v>
      </c>
      <c r="D26" s="204">
        <f t="shared" si="0"/>
        <v>172224</v>
      </c>
    </row>
    <row r="27" spans="1:4" x14ac:dyDescent="0.25">
      <c r="A27" s="516">
        <v>21</v>
      </c>
      <c r="B27" s="148" t="s">
        <v>261</v>
      </c>
      <c r="C27" s="204">
        <v>172224</v>
      </c>
      <c r="D27" s="204">
        <f t="shared" si="0"/>
        <v>172224</v>
      </c>
    </row>
    <row r="28" spans="1:4" x14ac:dyDescent="0.25">
      <c r="A28" s="516">
        <v>22</v>
      </c>
      <c r="B28" s="148" t="s">
        <v>262</v>
      </c>
      <c r="C28" s="204">
        <v>172224</v>
      </c>
      <c r="D28" s="204">
        <f t="shared" si="0"/>
        <v>172224</v>
      </c>
    </row>
    <row r="29" spans="1:4" x14ac:dyDescent="0.25">
      <c r="A29" s="516">
        <v>23</v>
      </c>
      <c r="B29" s="148" t="s">
        <v>263</v>
      </c>
      <c r="C29" s="204">
        <v>172224</v>
      </c>
      <c r="D29" s="204">
        <f t="shared" si="0"/>
        <v>172224</v>
      </c>
    </row>
    <row r="30" spans="1:4" x14ac:dyDescent="0.25">
      <c r="A30" s="516">
        <v>24</v>
      </c>
      <c r="B30" s="148" t="s">
        <v>264</v>
      </c>
      <c r="C30" s="204">
        <v>172224</v>
      </c>
      <c r="D30" s="204">
        <f t="shared" si="0"/>
        <v>172224</v>
      </c>
    </row>
    <row r="31" spans="1:4" x14ac:dyDescent="0.25">
      <c r="A31" s="516">
        <v>25</v>
      </c>
      <c r="B31" s="148" t="s">
        <v>265</v>
      </c>
      <c r="C31" s="204">
        <v>902373</v>
      </c>
      <c r="D31" s="204">
        <f t="shared" si="0"/>
        <v>902373</v>
      </c>
    </row>
    <row r="32" spans="1:4" x14ac:dyDescent="0.25">
      <c r="A32" s="516">
        <v>26</v>
      </c>
      <c r="B32" s="148" t="s">
        <v>266</v>
      </c>
      <c r="C32" s="204">
        <v>172224</v>
      </c>
      <c r="D32" s="204">
        <f t="shared" si="0"/>
        <v>172224</v>
      </c>
    </row>
    <row r="33" spans="1:4" x14ac:dyDescent="0.25">
      <c r="A33" s="516">
        <v>27</v>
      </c>
      <c r="B33" s="148" t="s">
        <v>267</v>
      </c>
      <c r="C33" s="204">
        <v>172224</v>
      </c>
      <c r="D33" s="204">
        <f t="shared" si="0"/>
        <v>172224</v>
      </c>
    </row>
    <row r="34" spans="1:4" x14ac:dyDescent="0.25">
      <c r="A34" s="516">
        <v>28</v>
      </c>
      <c r="B34" s="148" t="s">
        <v>268</v>
      </c>
      <c r="C34" s="204">
        <v>172224</v>
      </c>
      <c r="D34" s="204">
        <f t="shared" si="0"/>
        <v>172224</v>
      </c>
    </row>
    <row r="35" spans="1:4" x14ac:dyDescent="0.25">
      <c r="A35" s="516">
        <v>29</v>
      </c>
      <c r="B35" s="148" t="s">
        <v>269</v>
      </c>
      <c r="C35" s="204">
        <v>172224</v>
      </c>
      <c r="D35" s="204">
        <f t="shared" si="0"/>
        <v>172224</v>
      </c>
    </row>
    <row r="36" spans="1:4" x14ac:dyDescent="0.25">
      <c r="A36" s="516">
        <v>30</v>
      </c>
      <c r="B36" s="148" t="s">
        <v>270</v>
      </c>
      <c r="C36" s="204">
        <v>172224</v>
      </c>
      <c r="D36" s="204">
        <f t="shared" si="0"/>
        <v>172224</v>
      </c>
    </row>
    <row r="37" spans="1:4" x14ac:dyDescent="0.25">
      <c r="A37" s="516">
        <v>31</v>
      </c>
      <c r="B37" s="148" t="s">
        <v>271</v>
      </c>
      <c r="C37" s="204">
        <v>172224</v>
      </c>
      <c r="D37" s="204">
        <f t="shared" si="0"/>
        <v>172224</v>
      </c>
    </row>
    <row r="38" spans="1:4" x14ac:dyDescent="0.25">
      <c r="A38" s="516">
        <v>32</v>
      </c>
      <c r="B38" s="148" t="s">
        <v>272</v>
      </c>
      <c r="C38" s="204">
        <v>172224</v>
      </c>
      <c r="D38" s="204">
        <f t="shared" si="0"/>
        <v>172224</v>
      </c>
    </row>
    <row r="39" spans="1:4" x14ac:dyDescent="0.25">
      <c r="A39" s="516">
        <v>33</v>
      </c>
      <c r="B39" s="148" t="s">
        <v>273</v>
      </c>
      <c r="C39" s="204">
        <v>172224</v>
      </c>
      <c r="D39" s="204">
        <f t="shared" si="0"/>
        <v>172224</v>
      </c>
    </row>
    <row r="40" spans="1:4" x14ac:dyDescent="0.25">
      <c r="A40" s="516">
        <v>34</v>
      </c>
      <c r="B40" s="148" t="s">
        <v>274</v>
      </c>
      <c r="C40" s="204">
        <v>172224</v>
      </c>
      <c r="D40" s="204">
        <f t="shared" si="0"/>
        <v>172224</v>
      </c>
    </row>
    <row r="41" spans="1:4" x14ac:dyDescent="0.25">
      <c r="A41" s="516">
        <v>35</v>
      </c>
      <c r="B41" s="148" t="s">
        <v>275</v>
      </c>
      <c r="C41" s="204">
        <v>172224</v>
      </c>
      <c r="D41" s="204">
        <f t="shared" si="0"/>
        <v>172224</v>
      </c>
    </row>
    <row r="42" spans="1:4" x14ac:dyDescent="0.25">
      <c r="A42" s="516">
        <v>36</v>
      </c>
      <c r="B42" s="148" t="s">
        <v>296</v>
      </c>
      <c r="C42" s="204">
        <v>902373</v>
      </c>
      <c r="D42" s="204">
        <f t="shared" si="0"/>
        <v>902373</v>
      </c>
    </row>
    <row r="43" spans="1:4" x14ac:dyDescent="0.25">
      <c r="A43" s="516">
        <v>37</v>
      </c>
      <c r="B43" s="148" t="s">
        <v>277</v>
      </c>
      <c r="C43" s="204">
        <v>902373</v>
      </c>
      <c r="D43" s="204">
        <f t="shared" si="0"/>
        <v>902373</v>
      </c>
    </row>
    <row r="44" spans="1:4" x14ac:dyDescent="0.25">
      <c r="A44" s="516">
        <v>38</v>
      </c>
      <c r="B44" s="148" t="s">
        <v>278</v>
      </c>
      <c r="C44" s="204">
        <v>902373</v>
      </c>
      <c r="D44" s="204">
        <f t="shared" si="0"/>
        <v>902373</v>
      </c>
    </row>
    <row r="45" spans="1:4" x14ac:dyDescent="0.25">
      <c r="A45" s="516">
        <v>39</v>
      </c>
      <c r="B45" s="148" t="s">
        <v>533</v>
      </c>
      <c r="C45" s="204">
        <v>172224</v>
      </c>
      <c r="D45" s="204">
        <f t="shared" si="0"/>
        <v>172224</v>
      </c>
    </row>
    <row r="46" spans="1:4" x14ac:dyDescent="0.25">
      <c r="A46" s="516">
        <v>40</v>
      </c>
      <c r="B46" s="148" t="s">
        <v>280</v>
      </c>
      <c r="C46" s="204">
        <v>902373</v>
      </c>
      <c r="D46" s="204">
        <f t="shared" si="0"/>
        <v>902373</v>
      </c>
    </row>
    <row r="47" spans="1:4" x14ac:dyDescent="0.25">
      <c r="A47" s="996"/>
      <c r="B47" s="965"/>
      <c r="C47" s="196" t="s">
        <v>284</v>
      </c>
      <c r="D47" s="196">
        <f>SUM(D7:D46)</f>
        <v>12000000</v>
      </c>
    </row>
    <row r="48" spans="1:4" s="113" customFormat="1" x14ac:dyDescent="0.25">
      <c r="A48" s="514"/>
      <c r="B48" s="514"/>
      <c r="C48" s="196" t="s">
        <v>282</v>
      </c>
      <c r="D48" s="196">
        <f>D47*0.16</f>
        <v>1920000</v>
      </c>
    </row>
    <row r="49" spans="1:4" x14ac:dyDescent="0.25">
      <c r="A49" s="997"/>
      <c r="B49" s="997"/>
      <c r="C49" s="518" t="s">
        <v>537</v>
      </c>
      <c r="D49" s="196">
        <f>SUM(D47:D48)</f>
        <v>13920000</v>
      </c>
    </row>
  </sheetData>
  <mergeCells count="8">
    <mergeCell ref="A47:B47"/>
    <mergeCell ref="A49:B49"/>
    <mergeCell ref="A3:D3"/>
    <mergeCell ref="A4:D4"/>
    <mergeCell ref="A5:A6"/>
    <mergeCell ref="B5:B6"/>
    <mergeCell ref="C5:C6"/>
    <mergeCell ref="D5:D6"/>
  </mergeCells>
  <printOptions horizontalCentered="1"/>
  <pageMargins left="0.7" right="0.7" top="0.75" bottom="0.75" header="0.3" footer="0.3"/>
  <pageSetup paperSize="5" orientation="portrait" r:id="rId1"/>
  <headerFooter>
    <oddFooter xml:space="preserve">&amp;C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00B0F0"/>
  </sheetPr>
  <dimension ref="A3:D48"/>
  <sheetViews>
    <sheetView view="pageLayout" workbookViewId="0">
      <selection activeCell="G16" sqref="G16"/>
    </sheetView>
  </sheetViews>
  <sheetFormatPr baseColWidth="10" defaultRowHeight="12" x14ac:dyDescent="0.25"/>
  <cols>
    <col min="1" max="1" width="7.28515625" style="562" customWidth="1"/>
    <col min="2" max="2" width="22.140625" style="226" bestFit="1" customWidth="1"/>
    <col min="3" max="3" width="13.7109375" style="226" customWidth="1"/>
    <col min="4" max="4" width="13" style="226" bestFit="1" customWidth="1"/>
    <col min="5" max="16384" width="11.42578125" style="226"/>
  </cols>
  <sheetData>
    <row r="3" spans="1:4" x14ac:dyDescent="0.25">
      <c r="A3" s="967" t="s">
        <v>367</v>
      </c>
      <c r="B3" s="967"/>
      <c r="C3" s="967"/>
      <c r="D3" s="967"/>
    </row>
    <row r="4" spans="1:4" ht="42" customHeight="1" x14ac:dyDescent="0.25">
      <c r="A4" s="967" t="s">
        <v>1410</v>
      </c>
      <c r="B4" s="967"/>
      <c r="C4" s="967"/>
      <c r="D4" s="967"/>
    </row>
    <row r="5" spans="1:4" x14ac:dyDescent="0.25">
      <c r="A5" s="967" t="s">
        <v>368</v>
      </c>
      <c r="B5" s="967" t="s">
        <v>287</v>
      </c>
      <c r="C5" s="967" t="s">
        <v>536</v>
      </c>
      <c r="D5" s="967" t="s">
        <v>529</v>
      </c>
    </row>
    <row r="6" spans="1:4" ht="42" customHeight="1" x14ac:dyDescent="0.25">
      <c r="A6" s="967"/>
      <c r="B6" s="967"/>
      <c r="C6" s="967"/>
      <c r="D6" s="967"/>
    </row>
    <row r="7" spans="1:4" x14ac:dyDescent="0.25">
      <c r="A7" s="230">
        <v>1</v>
      </c>
      <c r="B7" s="280" t="s">
        <v>556</v>
      </c>
      <c r="C7" s="219"/>
      <c r="D7" s="219">
        <v>0</v>
      </c>
    </row>
    <row r="8" spans="1:4" x14ac:dyDescent="0.25">
      <c r="A8" s="230">
        <v>2</v>
      </c>
      <c r="B8" s="280" t="s">
        <v>342</v>
      </c>
      <c r="C8" s="219">
        <v>600000</v>
      </c>
      <c r="D8" s="219">
        <v>600000</v>
      </c>
    </row>
    <row r="9" spans="1:4" x14ac:dyDescent="0.25">
      <c r="A9" s="230">
        <v>3</v>
      </c>
      <c r="B9" s="280" t="s">
        <v>530</v>
      </c>
      <c r="C9" s="219">
        <v>140000</v>
      </c>
      <c r="D9" s="219">
        <v>140000</v>
      </c>
    </row>
    <row r="10" spans="1:4" x14ac:dyDescent="0.25">
      <c r="A10" s="230">
        <v>4</v>
      </c>
      <c r="B10" s="280" t="s">
        <v>557</v>
      </c>
      <c r="C10" s="219"/>
      <c r="D10" s="219">
        <v>0</v>
      </c>
    </row>
    <row r="11" spans="1:4" x14ac:dyDescent="0.25">
      <c r="A11" s="230">
        <v>5</v>
      </c>
      <c r="B11" s="280" t="s">
        <v>1787</v>
      </c>
      <c r="C11" s="219">
        <v>600000</v>
      </c>
      <c r="D11" s="219">
        <v>600000</v>
      </c>
    </row>
    <row r="12" spans="1:4" x14ac:dyDescent="0.25">
      <c r="A12" s="230">
        <v>6</v>
      </c>
      <c r="B12" s="280" t="s">
        <v>561</v>
      </c>
      <c r="C12" s="219"/>
      <c r="D12" s="219">
        <v>0</v>
      </c>
    </row>
    <row r="13" spans="1:4" x14ac:dyDescent="0.25">
      <c r="A13" s="230">
        <v>7</v>
      </c>
      <c r="B13" s="280" t="s">
        <v>316</v>
      </c>
      <c r="C13" s="219">
        <v>600000</v>
      </c>
      <c r="D13" s="219">
        <v>600000</v>
      </c>
    </row>
    <row r="14" spans="1:4" x14ac:dyDescent="0.25">
      <c r="A14" s="230">
        <v>8</v>
      </c>
      <c r="B14" s="280" t="s">
        <v>526</v>
      </c>
      <c r="C14" s="219">
        <v>140000</v>
      </c>
      <c r="D14" s="219">
        <v>140000</v>
      </c>
    </row>
    <row r="15" spans="1:4" x14ac:dyDescent="0.25">
      <c r="A15" s="230">
        <v>9</v>
      </c>
      <c r="B15" s="280" t="s">
        <v>563</v>
      </c>
      <c r="C15" s="219">
        <v>140000</v>
      </c>
      <c r="D15" s="219">
        <v>140000</v>
      </c>
    </row>
    <row r="16" spans="1:4" x14ac:dyDescent="0.25">
      <c r="A16" s="230">
        <v>10</v>
      </c>
      <c r="B16" s="280" t="s">
        <v>564</v>
      </c>
      <c r="C16" s="219">
        <v>140000</v>
      </c>
      <c r="D16" s="219">
        <v>140000</v>
      </c>
    </row>
    <row r="17" spans="1:4" x14ac:dyDescent="0.25">
      <c r="A17" s="230">
        <v>11</v>
      </c>
      <c r="B17" s="280" t="s">
        <v>565</v>
      </c>
      <c r="C17" s="219">
        <v>140000</v>
      </c>
      <c r="D17" s="219">
        <v>140000</v>
      </c>
    </row>
    <row r="18" spans="1:4" x14ac:dyDescent="0.25">
      <c r="A18" s="230">
        <v>12</v>
      </c>
      <c r="B18" s="280" t="s">
        <v>566</v>
      </c>
      <c r="C18" s="219">
        <v>140000</v>
      </c>
      <c r="D18" s="219">
        <v>140000</v>
      </c>
    </row>
    <row r="19" spans="1:4" x14ac:dyDescent="0.25">
      <c r="A19" s="230">
        <v>13</v>
      </c>
      <c r="B19" s="280" t="s">
        <v>354</v>
      </c>
      <c r="C19" s="219">
        <v>140000</v>
      </c>
      <c r="D19" s="219">
        <v>140000</v>
      </c>
    </row>
    <row r="20" spans="1:4" x14ac:dyDescent="0.25">
      <c r="A20" s="230">
        <v>14</v>
      </c>
      <c r="B20" s="280" t="s">
        <v>254</v>
      </c>
      <c r="C20" s="219">
        <v>140000</v>
      </c>
      <c r="D20" s="219">
        <v>140000</v>
      </c>
    </row>
    <row r="21" spans="1:4" x14ac:dyDescent="0.25">
      <c r="A21" s="230">
        <v>15</v>
      </c>
      <c r="B21" s="280" t="s">
        <v>1684</v>
      </c>
      <c r="C21" s="219">
        <v>140000</v>
      </c>
      <c r="D21" s="219">
        <v>140000</v>
      </c>
    </row>
    <row r="22" spans="1:4" x14ac:dyDescent="0.25">
      <c r="A22" s="230">
        <v>16</v>
      </c>
      <c r="B22" s="280" t="s">
        <v>568</v>
      </c>
      <c r="C22" s="219">
        <v>140000</v>
      </c>
      <c r="D22" s="219">
        <v>140000</v>
      </c>
    </row>
    <row r="23" spans="1:4" x14ac:dyDescent="0.25">
      <c r="A23" s="230">
        <v>17</v>
      </c>
      <c r="B23" s="280" t="s">
        <v>1883</v>
      </c>
      <c r="C23" s="219">
        <v>600000</v>
      </c>
      <c r="D23" s="219">
        <v>600000</v>
      </c>
    </row>
    <row r="24" spans="1:4" x14ac:dyDescent="0.25">
      <c r="A24" s="230">
        <v>18</v>
      </c>
      <c r="B24" s="280" t="s">
        <v>356</v>
      </c>
      <c r="C24" s="219">
        <v>140000</v>
      </c>
      <c r="D24" s="219">
        <v>140000</v>
      </c>
    </row>
    <row r="25" spans="1:4" x14ac:dyDescent="0.25">
      <c r="A25" s="230">
        <v>19</v>
      </c>
      <c r="B25" s="280" t="s">
        <v>315</v>
      </c>
      <c r="C25" s="219">
        <v>700000</v>
      </c>
      <c r="D25" s="219">
        <v>700000</v>
      </c>
    </row>
    <row r="26" spans="1:4" x14ac:dyDescent="0.25">
      <c r="A26" s="230">
        <v>20</v>
      </c>
      <c r="B26" s="280" t="s">
        <v>570</v>
      </c>
      <c r="C26" s="219">
        <v>140000</v>
      </c>
      <c r="D26" s="219">
        <v>140000</v>
      </c>
    </row>
    <row r="27" spans="1:4" x14ac:dyDescent="0.25">
      <c r="A27" s="230">
        <v>21</v>
      </c>
      <c r="B27" s="280" t="s">
        <v>569</v>
      </c>
      <c r="C27" s="219">
        <v>140000</v>
      </c>
      <c r="D27" s="219">
        <v>140000</v>
      </c>
    </row>
    <row r="28" spans="1:4" x14ac:dyDescent="0.25">
      <c r="A28" s="230">
        <v>22</v>
      </c>
      <c r="B28" s="280" t="s">
        <v>571</v>
      </c>
      <c r="C28" s="219">
        <v>140000</v>
      </c>
      <c r="D28" s="219">
        <v>140000</v>
      </c>
    </row>
    <row r="29" spans="1:4" x14ac:dyDescent="0.25">
      <c r="A29" s="230">
        <v>23</v>
      </c>
      <c r="B29" s="280" t="s">
        <v>572</v>
      </c>
      <c r="C29" s="219">
        <v>600000</v>
      </c>
      <c r="D29" s="219">
        <v>600000</v>
      </c>
    </row>
    <row r="30" spans="1:4" x14ac:dyDescent="0.25">
      <c r="A30" s="230">
        <v>24</v>
      </c>
      <c r="B30" s="280" t="s">
        <v>573</v>
      </c>
      <c r="C30" s="219">
        <v>140000</v>
      </c>
      <c r="D30" s="219">
        <v>140000</v>
      </c>
    </row>
    <row r="31" spans="1:4" x14ac:dyDescent="0.25">
      <c r="A31" s="230">
        <v>25</v>
      </c>
      <c r="B31" s="280" t="s">
        <v>265</v>
      </c>
      <c r="C31" s="219">
        <v>140000</v>
      </c>
      <c r="D31" s="219">
        <v>140000</v>
      </c>
    </row>
    <row r="32" spans="1:4" x14ac:dyDescent="0.25">
      <c r="A32" s="230">
        <v>26</v>
      </c>
      <c r="B32" s="280" t="s">
        <v>574</v>
      </c>
      <c r="C32" s="219">
        <v>140000</v>
      </c>
      <c r="D32" s="219">
        <v>140000</v>
      </c>
    </row>
    <row r="33" spans="1:4" x14ac:dyDescent="0.25">
      <c r="A33" s="230">
        <v>27</v>
      </c>
      <c r="B33" s="280" t="s">
        <v>575</v>
      </c>
      <c r="C33" s="219">
        <v>140000</v>
      </c>
      <c r="D33" s="219">
        <v>140000</v>
      </c>
    </row>
    <row r="34" spans="1:4" x14ac:dyDescent="0.25">
      <c r="A34" s="230">
        <v>28</v>
      </c>
      <c r="B34" s="280" t="s">
        <v>512</v>
      </c>
      <c r="C34" s="219">
        <v>140000</v>
      </c>
      <c r="D34" s="219">
        <v>140000</v>
      </c>
    </row>
    <row r="35" spans="1:4" x14ac:dyDescent="0.25">
      <c r="A35" s="230">
        <v>29</v>
      </c>
      <c r="B35" s="280" t="s">
        <v>576</v>
      </c>
      <c r="C35" s="219">
        <v>600000</v>
      </c>
      <c r="D35" s="219">
        <v>600000</v>
      </c>
    </row>
    <row r="36" spans="1:4" x14ac:dyDescent="0.25">
      <c r="A36" s="230">
        <v>30</v>
      </c>
      <c r="B36" s="280" t="s">
        <v>577</v>
      </c>
      <c r="C36" s="219">
        <v>140000</v>
      </c>
      <c r="D36" s="219">
        <v>140000</v>
      </c>
    </row>
    <row r="37" spans="1:4" x14ac:dyDescent="0.25">
      <c r="A37" s="230">
        <v>31</v>
      </c>
      <c r="B37" s="280" t="s">
        <v>578</v>
      </c>
      <c r="C37" s="219">
        <v>140000</v>
      </c>
      <c r="D37" s="219">
        <v>140000</v>
      </c>
    </row>
    <row r="38" spans="1:4" x14ac:dyDescent="0.25">
      <c r="A38" s="230">
        <v>32</v>
      </c>
      <c r="B38" s="280" t="s">
        <v>358</v>
      </c>
      <c r="C38" s="219">
        <v>140000</v>
      </c>
      <c r="D38" s="219">
        <v>140000</v>
      </c>
    </row>
    <row r="39" spans="1:4" x14ac:dyDescent="0.25">
      <c r="A39" s="230">
        <v>33</v>
      </c>
      <c r="B39" s="280" t="s">
        <v>579</v>
      </c>
      <c r="C39" s="219">
        <v>140000</v>
      </c>
      <c r="D39" s="219">
        <v>140000</v>
      </c>
    </row>
    <row r="40" spans="1:4" x14ac:dyDescent="0.25">
      <c r="A40" s="230">
        <v>34</v>
      </c>
      <c r="B40" s="280" t="s">
        <v>580</v>
      </c>
      <c r="C40" s="219">
        <v>140000</v>
      </c>
      <c r="D40" s="219">
        <v>140000</v>
      </c>
    </row>
    <row r="41" spans="1:4" x14ac:dyDescent="0.25">
      <c r="A41" s="230">
        <v>35</v>
      </c>
      <c r="B41" s="280" t="s">
        <v>513</v>
      </c>
      <c r="C41" s="219">
        <v>140000</v>
      </c>
      <c r="D41" s="219">
        <v>140000</v>
      </c>
    </row>
    <row r="42" spans="1:4" x14ac:dyDescent="0.25">
      <c r="A42" s="230">
        <v>36</v>
      </c>
      <c r="B42" s="280" t="s">
        <v>1884</v>
      </c>
      <c r="C42" s="219">
        <v>700000</v>
      </c>
      <c r="D42" s="219">
        <v>700000</v>
      </c>
    </row>
    <row r="43" spans="1:4" x14ac:dyDescent="0.25">
      <c r="A43" s="230">
        <v>37</v>
      </c>
      <c r="B43" s="280" t="s">
        <v>1885</v>
      </c>
      <c r="C43" s="219">
        <v>700000</v>
      </c>
      <c r="D43" s="219">
        <v>700000</v>
      </c>
    </row>
    <row r="44" spans="1:4" x14ac:dyDescent="0.25">
      <c r="A44" s="230">
        <v>38</v>
      </c>
      <c r="B44" s="280" t="s">
        <v>1886</v>
      </c>
      <c r="C44" s="219">
        <v>700000</v>
      </c>
      <c r="D44" s="219">
        <v>700000</v>
      </c>
    </row>
    <row r="45" spans="1:4" x14ac:dyDescent="0.25">
      <c r="A45" s="230">
        <v>39</v>
      </c>
      <c r="B45" s="280" t="s">
        <v>533</v>
      </c>
      <c r="C45" s="219">
        <v>100000</v>
      </c>
      <c r="D45" s="219">
        <v>100000</v>
      </c>
    </row>
    <row r="46" spans="1:4" x14ac:dyDescent="0.25">
      <c r="A46" s="230">
        <v>40</v>
      </c>
      <c r="B46" s="280" t="s">
        <v>280</v>
      </c>
      <c r="C46" s="219"/>
      <c r="D46" s="219">
        <v>0</v>
      </c>
    </row>
    <row r="47" spans="1:4" x14ac:dyDescent="0.25">
      <c r="A47" s="944" t="s">
        <v>297</v>
      </c>
      <c r="B47" s="944"/>
      <c r="C47" s="224">
        <f>SUM(C7:C46)</f>
        <v>10000000</v>
      </c>
      <c r="D47" s="224">
        <f>SUM(D7:D46)</f>
        <v>10000000</v>
      </c>
    </row>
    <row r="48" spans="1:4" x14ac:dyDescent="0.25">
      <c r="A48" s="998"/>
      <c r="B48" s="998"/>
      <c r="C48" s="517" t="s">
        <v>537</v>
      </c>
      <c r="D48" s="224">
        <f>D47</f>
        <v>10000000</v>
      </c>
    </row>
  </sheetData>
  <mergeCells count="8">
    <mergeCell ref="A47:B47"/>
    <mergeCell ref="A48:B48"/>
    <mergeCell ref="A3:D3"/>
    <mergeCell ref="A4:D4"/>
    <mergeCell ref="A5:A6"/>
    <mergeCell ref="B5:B6"/>
    <mergeCell ref="C5:C6"/>
    <mergeCell ref="D5:D6"/>
  </mergeCells>
  <printOptions horizontalCentered="1"/>
  <pageMargins left="0.7" right="0.7" top="0.33" bottom="1.7" header="0.3" footer="1.1499999999999999"/>
  <pageSetup paperSize="5" orientation="portrait" r:id="rId1"/>
  <headerFooter>
    <oddFooter xml:space="preserve">&amp;C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rgb="FF00B0F0"/>
  </sheetPr>
  <dimension ref="A1:C8"/>
  <sheetViews>
    <sheetView zoomScaleNormal="100" workbookViewId="0">
      <selection activeCell="B23" sqref="B23"/>
    </sheetView>
  </sheetViews>
  <sheetFormatPr baseColWidth="10" defaultRowHeight="15" x14ac:dyDescent="0.25"/>
  <cols>
    <col min="1" max="1" width="17.42578125" style="142" customWidth="1"/>
    <col min="2" max="2" width="56" style="142" customWidth="1"/>
    <col min="3" max="3" width="16.28515625" style="142" customWidth="1"/>
    <col min="4" max="16384" width="11.42578125" style="142"/>
  </cols>
  <sheetData>
    <row r="1" spans="1:3" x14ac:dyDescent="0.25">
      <c r="A1" s="999" t="s">
        <v>538</v>
      </c>
      <c r="B1" s="999"/>
      <c r="C1" s="999"/>
    </row>
    <row r="2" spans="1:3" x14ac:dyDescent="0.25">
      <c r="A2" s="999"/>
      <c r="B2" s="999"/>
      <c r="C2" s="999"/>
    </row>
    <row r="3" spans="1:3" x14ac:dyDescent="0.25">
      <c r="A3" s="1000" t="s">
        <v>539</v>
      </c>
      <c r="B3" s="1000"/>
      <c r="C3" s="1000"/>
    </row>
    <row r="4" spans="1:3" x14ac:dyDescent="0.25">
      <c r="A4" s="1001" t="s">
        <v>540</v>
      </c>
      <c r="B4" s="1001"/>
      <c r="C4" s="1001"/>
    </row>
    <row r="5" spans="1:3" x14ac:dyDescent="0.25">
      <c r="A5" s="296"/>
      <c r="B5" s="296"/>
      <c r="C5" s="296"/>
    </row>
    <row r="6" spans="1:3" x14ac:dyDescent="0.25">
      <c r="A6" s="297" t="s">
        <v>299</v>
      </c>
      <c r="B6" s="297" t="s">
        <v>0</v>
      </c>
      <c r="C6" s="297" t="s">
        <v>164</v>
      </c>
    </row>
    <row r="7" spans="1:3" x14ac:dyDescent="0.25">
      <c r="A7" s="298">
        <v>1</v>
      </c>
      <c r="B7" s="299" t="s">
        <v>541</v>
      </c>
      <c r="C7" s="300"/>
    </row>
    <row r="8" spans="1:3" x14ac:dyDescent="0.25">
      <c r="A8" s="299"/>
      <c r="B8" s="271" t="s">
        <v>1411</v>
      </c>
      <c r="C8" s="301"/>
    </row>
  </sheetData>
  <mergeCells count="3">
    <mergeCell ref="A1:C2"/>
    <mergeCell ref="A3:C3"/>
    <mergeCell ref="A4:C4"/>
  </mergeCells>
  <printOptions horizontalCentered="1" verticalCentered="1"/>
  <pageMargins left="0.7" right="0.7" top="0.75" bottom="0.75" header="0.3" footer="0.3"/>
  <pageSetup paperSize="5" orientation="portrait" r:id="rId1"/>
  <headerFooter>
    <oddFooter xml:space="preserve">&amp;C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rgb="FF00B0F0"/>
  </sheetPr>
  <dimension ref="A1:C8"/>
  <sheetViews>
    <sheetView view="pageLayout" workbookViewId="0">
      <selection activeCell="B14" sqref="B14"/>
    </sheetView>
  </sheetViews>
  <sheetFormatPr baseColWidth="10" defaultRowHeight="15" x14ac:dyDescent="0.25"/>
  <cols>
    <col min="1" max="1" width="20.42578125" customWidth="1"/>
    <col min="2" max="2" width="61.85546875" customWidth="1"/>
    <col min="3" max="3" width="24.85546875" customWidth="1"/>
  </cols>
  <sheetData>
    <row r="1" spans="1:3" x14ac:dyDescent="0.25">
      <c r="A1" s="1002" t="s">
        <v>538</v>
      </c>
      <c r="B1" s="1002"/>
      <c r="C1" s="1002"/>
    </row>
    <row r="2" spans="1:3" x14ac:dyDescent="0.25">
      <c r="A2" s="1002"/>
      <c r="B2" s="1002"/>
      <c r="C2" s="1002"/>
    </row>
    <row r="3" spans="1:3" x14ac:dyDescent="0.25">
      <c r="A3" s="1003" t="s">
        <v>543</v>
      </c>
      <c r="B3" s="1003"/>
      <c r="C3" s="1003"/>
    </row>
    <row r="4" spans="1:3" x14ac:dyDescent="0.25">
      <c r="A4" s="1004" t="s">
        <v>1412</v>
      </c>
      <c r="B4" s="1004"/>
      <c r="C4" s="1004"/>
    </row>
    <row r="5" spans="1:3" x14ac:dyDescent="0.25">
      <c r="A5" s="114"/>
      <c r="B5" s="114"/>
      <c r="C5" s="114"/>
    </row>
    <row r="6" spans="1:3" x14ac:dyDescent="0.25">
      <c r="A6" s="119" t="s">
        <v>299</v>
      </c>
      <c r="B6" s="119" t="s">
        <v>0</v>
      </c>
      <c r="C6" s="119" t="s">
        <v>164</v>
      </c>
    </row>
    <row r="7" spans="1:3" x14ac:dyDescent="0.25">
      <c r="A7" s="116">
        <v>1</v>
      </c>
      <c r="B7" s="115" t="s">
        <v>544</v>
      </c>
      <c r="C7" s="117">
        <v>300000000</v>
      </c>
    </row>
    <row r="8" spans="1:3" x14ac:dyDescent="0.25">
      <c r="A8" s="120"/>
      <c r="B8" s="121" t="s">
        <v>542</v>
      </c>
      <c r="C8" s="118">
        <f>SUM(C7)</f>
        <v>300000000</v>
      </c>
    </row>
  </sheetData>
  <mergeCells count="3">
    <mergeCell ref="A1:C2"/>
    <mergeCell ref="A3:C3"/>
    <mergeCell ref="A4:C4"/>
  </mergeCells>
  <printOptions horizontalCentered="1" verticalCentered="1"/>
  <pageMargins left="0.7" right="0.7" top="0.75" bottom="1.92" header="0.3" footer="1.04"/>
  <pageSetup paperSize="5" orientation="landscape" r:id="rId1"/>
  <headerFooter>
    <oddFooter xml:space="preserve">&amp;C54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rgb="FF00B0F0"/>
  </sheetPr>
  <dimension ref="A1:C13"/>
  <sheetViews>
    <sheetView view="pageLayout" workbookViewId="0">
      <selection activeCell="B19" sqref="B19"/>
    </sheetView>
  </sheetViews>
  <sheetFormatPr baseColWidth="10" defaultRowHeight="15" x14ac:dyDescent="0.25"/>
  <cols>
    <col min="1" max="1" width="10.5703125" customWidth="1"/>
    <col min="2" max="2" width="60.5703125" customWidth="1"/>
    <col min="3" max="3" width="22.7109375" customWidth="1"/>
  </cols>
  <sheetData>
    <row r="1" spans="1:3" s="145" customFormat="1" x14ac:dyDescent="0.25">
      <c r="A1" s="867" t="s">
        <v>538</v>
      </c>
      <c r="B1" s="867"/>
      <c r="C1" s="867"/>
    </row>
    <row r="2" spans="1:3" s="145" customFormat="1" x14ac:dyDescent="0.25">
      <c r="A2" s="872" t="s">
        <v>1413</v>
      </c>
      <c r="B2" s="872"/>
      <c r="C2" s="872"/>
    </row>
    <row r="3" spans="1:3" s="145" customFormat="1" x14ac:dyDescent="0.25">
      <c r="A3" s="579" t="s">
        <v>299</v>
      </c>
      <c r="B3" s="580" t="s">
        <v>0</v>
      </c>
      <c r="C3" s="580" t="s">
        <v>164</v>
      </c>
    </row>
    <row r="4" spans="1:3" s="145" customFormat="1" x14ac:dyDescent="0.25">
      <c r="A4" s="581">
        <v>1</v>
      </c>
      <c r="B4" s="148" t="s">
        <v>545</v>
      </c>
      <c r="C4" s="186">
        <v>81782436</v>
      </c>
    </row>
    <row r="5" spans="1:3" s="145" customFormat="1" x14ac:dyDescent="0.25">
      <c r="A5" s="581">
        <v>2</v>
      </c>
      <c r="B5" s="148" t="s">
        <v>546</v>
      </c>
      <c r="C5" s="186">
        <v>14827800</v>
      </c>
    </row>
    <row r="6" spans="1:3" s="145" customFormat="1" x14ac:dyDescent="0.25">
      <c r="A6" s="581">
        <v>3</v>
      </c>
      <c r="B6" s="148" t="s">
        <v>547</v>
      </c>
      <c r="C6" s="186">
        <v>12854716</v>
      </c>
    </row>
    <row r="7" spans="1:3" s="145" customFormat="1" x14ac:dyDescent="0.25">
      <c r="A7" s="581">
        <v>4</v>
      </c>
      <c r="B7" s="148" t="s">
        <v>1887</v>
      </c>
      <c r="C7" s="186">
        <v>1459719</v>
      </c>
    </row>
    <row r="8" spans="1:3" s="145" customFormat="1" x14ac:dyDescent="0.25">
      <c r="A8" s="581">
        <v>5</v>
      </c>
      <c r="B8" s="148" t="s">
        <v>548</v>
      </c>
      <c r="C8" s="186">
        <v>20607107</v>
      </c>
    </row>
    <row r="9" spans="1:3" s="145" customFormat="1" x14ac:dyDescent="0.25">
      <c r="A9" s="581">
        <v>6</v>
      </c>
      <c r="B9" s="148" t="s">
        <v>549</v>
      </c>
      <c r="C9" s="186">
        <v>21506400</v>
      </c>
    </row>
    <row r="10" spans="1:3" s="145" customFormat="1" x14ac:dyDescent="0.25">
      <c r="A10" s="581">
        <v>7</v>
      </c>
      <c r="B10" s="148" t="s">
        <v>550</v>
      </c>
      <c r="C10" s="186">
        <v>7469350</v>
      </c>
    </row>
    <row r="11" spans="1:3" s="145" customFormat="1" x14ac:dyDescent="0.25">
      <c r="A11" s="581">
        <v>8</v>
      </c>
      <c r="B11" s="148" t="s">
        <v>551</v>
      </c>
      <c r="C11" s="186">
        <v>122885180</v>
      </c>
    </row>
    <row r="12" spans="1:3" s="145" customFormat="1" x14ac:dyDescent="0.25">
      <c r="A12" s="581">
        <v>9</v>
      </c>
      <c r="B12" s="148" t="s">
        <v>552</v>
      </c>
      <c r="C12" s="186">
        <v>37485316</v>
      </c>
    </row>
    <row r="13" spans="1:3" s="145" customFormat="1" x14ac:dyDescent="0.25">
      <c r="A13" s="609"/>
      <c r="B13" s="579" t="s">
        <v>553</v>
      </c>
      <c r="C13" s="196">
        <f>SUM(C4:C12)</f>
        <v>320878024</v>
      </c>
    </row>
  </sheetData>
  <mergeCells count="2">
    <mergeCell ref="A1:C1"/>
    <mergeCell ref="A2:C2"/>
  </mergeCells>
  <printOptions horizontalCentered="1" verticalCentered="1"/>
  <pageMargins left="0.7" right="0.7" top="0.75" bottom="0.75" header="0.3" footer="0.3"/>
  <pageSetup paperSize="5" fitToHeight="0" orientation="portrait" r:id="rId1"/>
  <headerFooter>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G49"/>
  <sheetViews>
    <sheetView showGridLines="0" view="pageLayout" zoomScaleNormal="100" workbookViewId="0"/>
  </sheetViews>
  <sheetFormatPr baseColWidth="10" defaultRowHeight="15" x14ac:dyDescent="0.25"/>
  <cols>
    <col min="1" max="16384" width="11.42578125" style="793"/>
  </cols>
  <sheetData>
    <row r="11" spans="1:7" ht="15" customHeight="1" x14ac:dyDescent="0.25">
      <c r="A11" s="839" t="s">
        <v>1978</v>
      </c>
      <c r="B11" s="839"/>
      <c r="C11" s="839"/>
      <c r="D11" s="839"/>
      <c r="E11" s="839"/>
      <c r="F11" s="839"/>
      <c r="G11" s="839"/>
    </row>
    <row r="12" spans="1:7" ht="15" customHeight="1" x14ac:dyDescent="0.25">
      <c r="A12" s="839"/>
      <c r="B12" s="839"/>
      <c r="C12" s="839"/>
      <c r="D12" s="839"/>
      <c r="E12" s="839"/>
      <c r="F12" s="839"/>
      <c r="G12" s="839"/>
    </row>
    <row r="13" spans="1:7" x14ac:dyDescent="0.25">
      <c r="G13" s="792"/>
    </row>
    <row r="14" spans="1:7" x14ac:dyDescent="0.25">
      <c r="G14" s="792"/>
    </row>
    <row r="15" spans="1:7" ht="43.5" customHeight="1" x14ac:dyDescent="0.25">
      <c r="A15" s="840" t="s">
        <v>1979</v>
      </c>
      <c r="B15" s="840"/>
      <c r="C15" s="840"/>
      <c r="D15" s="840"/>
      <c r="E15" s="840"/>
      <c r="F15" s="840"/>
      <c r="G15" s="840"/>
    </row>
    <row r="16" spans="1:7" ht="15" customHeight="1" x14ac:dyDescent="0.25">
      <c r="A16" s="840"/>
      <c r="B16" s="840"/>
      <c r="C16" s="840"/>
      <c r="D16" s="840"/>
      <c r="E16" s="840"/>
      <c r="F16" s="840"/>
      <c r="G16" s="840"/>
    </row>
    <row r="17" spans="1:7" ht="15" customHeight="1" x14ac:dyDescent="0.25">
      <c r="A17" s="791"/>
      <c r="B17" s="791"/>
      <c r="C17" s="791"/>
      <c r="D17" s="791"/>
      <c r="E17" s="791"/>
      <c r="F17" s="791"/>
      <c r="G17" s="791"/>
    </row>
    <row r="18" spans="1:7" ht="15" customHeight="1" x14ac:dyDescent="0.25">
      <c r="A18" s="791"/>
      <c r="B18" s="791"/>
      <c r="C18" s="791"/>
      <c r="D18" s="791"/>
      <c r="E18" s="791"/>
      <c r="F18" s="791"/>
      <c r="G18" s="791"/>
    </row>
    <row r="19" spans="1:7" ht="15" customHeight="1" x14ac:dyDescent="0.25">
      <c r="A19" s="791"/>
      <c r="B19" s="791"/>
      <c r="C19" s="791"/>
      <c r="D19" s="791"/>
      <c r="E19" s="791"/>
      <c r="F19" s="791"/>
      <c r="G19" s="791"/>
    </row>
    <row r="20" spans="1:7" ht="15" customHeight="1" x14ac:dyDescent="0.25">
      <c r="A20" s="791"/>
      <c r="B20" s="791"/>
      <c r="C20" s="791"/>
      <c r="D20" s="791"/>
      <c r="E20" s="791"/>
      <c r="F20" s="791"/>
      <c r="G20" s="791"/>
    </row>
    <row r="21" spans="1:7" x14ac:dyDescent="0.25">
      <c r="G21" s="792"/>
    </row>
    <row r="22" spans="1:7" x14ac:dyDescent="0.25">
      <c r="A22" s="843"/>
      <c r="B22" s="843"/>
      <c r="C22" s="843"/>
      <c r="D22" s="843"/>
      <c r="E22" s="843"/>
      <c r="F22" s="843"/>
      <c r="G22" s="792"/>
    </row>
    <row r="23" spans="1:7" x14ac:dyDescent="0.25">
      <c r="G23" s="792"/>
    </row>
    <row r="24" spans="1:7" x14ac:dyDescent="0.25">
      <c r="G24" s="792"/>
    </row>
    <row r="25" spans="1:7" x14ac:dyDescent="0.25">
      <c r="G25" s="792"/>
    </row>
    <row r="26" spans="1:7" x14ac:dyDescent="0.25">
      <c r="G26" s="792"/>
    </row>
    <row r="27" spans="1:7" x14ac:dyDescent="0.25">
      <c r="A27" s="844"/>
      <c r="B27" s="844"/>
      <c r="C27" s="844"/>
      <c r="D27" s="844"/>
      <c r="E27" s="844"/>
      <c r="F27" s="844"/>
      <c r="G27" s="792"/>
    </row>
    <row r="28" spans="1:7" x14ac:dyDescent="0.25">
      <c r="G28" s="792"/>
    </row>
    <row r="29" spans="1:7" x14ac:dyDescent="0.25">
      <c r="G29" s="792"/>
    </row>
    <row r="30" spans="1:7" x14ac:dyDescent="0.25">
      <c r="G30" s="792"/>
    </row>
    <row r="31" spans="1:7" x14ac:dyDescent="0.25">
      <c r="G31" s="792"/>
    </row>
    <row r="32" spans="1:7" x14ac:dyDescent="0.25">
      <c r="G32" s="792"/>
    </row>
    <row r="33" spans="1:7" x14ac:dyDescent="0.25">
      <c r="G33" s="792"/>
    </row>
    <row r="34" spans="1:7" x14ac:dyDescent="0.25">
      <c r="G34" s="792"/>
    </row>
    <row r="35" spans="1:7" x14ac:dyDescent="0.25">
      <c r="G35" s="792"/>
    </row>
    <row r="36" spans="1:7" x14ac:dyDescent="0.25">
      <c r="A36" s="844"/>
      <c r="B36" s="844"/>
      <c r="C36" s="844"/>
      <c r="D36" s="844"/>
      <c r="E36" s="844"/>
      <c r="F36" s="844"/>
      <c r="G36" s="792"/>
    </row>
    <row r="37" spans="1:7" ht="76.5" customHeight="1" x14ac:dyDescent="0.25">
      <c r="A37" s="845" t="s">
        <v>2032</v>
      </c>
      <c r="B37" s="845"/>
      <c r="C37" s="845"/>
      <c r="D37" s="845"/>
      <c r="E37" s="845"/>
      <c r="F37" s="845"/>
      <c r="G37" s="845"/>
    </row>
    <row r="38" spans="1:7" x14ac:dyDescent="0.25">
      <c r="A38" s="845"/>
      <c r="B38" s="845"/>
      <c r="C38" s="845"/>
      <c r="D38" s="845"/>
      <c r="E38" s="845"/>
      <c r="F38" s="845"/>
      <c r="G38" s="845"/>
    </row>
    <row r="39" spans="1:7" x14ac:dyDescent="0.25">
      <c r="A39" s="845"/>
      <c r="B39" s="845"/>
      <c r="C39" s="845"/>
      <c r="D39" s="845"/>
      <c r="E39" s="845"/>
      <c r="F39" s="845"/>
      <c r="G39" s="845"/>
    </row>
    <row r="40" spans="1:7" x14ac:dyDescent="0.25">
      <c r="A40" s="845"/>
      <c r="B40" s="845"/>
      <c r="C40" s="845"/>
      <c r="D40" s="845"/>
      <c r="E40" s="845"/>
      <c r="F40" s="845"/>
      <c r="G40" s="845"/>
    </row>
    <row r="41" spans="1:7" x14ac:dyDescent="0.25">
      <c r="A41" s="845"/>
      <c r="B41" s="845"/>
      <c r="C41" s="845"/>
      <c r="D41" s="845"/>
      <c r="E41" s="845"/>
      <c r="F41" s="845"/>
      <c r="G41" s="845"/>
    </row>
    <row r="42" spans="1:7" ht="31.5" x14ac:dyDescent="0.25">
      <c r="A42" s="794"/>
      <c r="B42" s="794"/>
      <c r="C42" s="794"/>
      <c r="D42" s="794"/>
      <c r="E42" s="794"/>
      <c r="F42" s="794"/>
      <c r="G42" s="794"/>
    </row>
    <row r="43" spans="1:7" ht="31.5" x14ac:dyDescent="0.25">
      <c r="A43" s="842">
        <v>2015</v>
      </c>
      <c r="B43" s="842"/>
      <c r="C43" s="842"/>
      <c r="D43" s="842"/>
      <c r="E43" s="842"/>
      <c r="F43" s="842"/>
      <c r="G43" s="842"/>
    </row>
    <row r="44" spans="1:7" x14ac:dyDescent="0.25">
      <c r="A44" s="163"/>
    </row>
    <row r="45" spans="1:7" x14ac:dyDescent="0.25">
      <c r="A45" s="163"/>
    </row>
    <row r="46" spans="1:7" x14ac:dyDescent="0.25">
      <c r="A46" s="163"/>
    </row>
    <row r="47" spans="1:7" x14ac:dyDescent="0.25">
      <c r="A47" s="163"/>
    </row>
    <row r="48" spans="1:7" x14ac:dyDescent="0.25">
      <c r="A48" s="163"/>
    </row>
    <row r="49" spans="1:1" x14ac:dyDescent="0.25">
      <c r="A49" s="163"/>
    </row>
  </sheetData>
  <mergeCells count="7">
    <mergeCell ref="A43:G43"/>
    <mergeCell ref="A11:G12"/>
    <mergeCell ref="A15:G16"/>
    <mergeCell ref="A22:F22"/>
    <mergeCell ref="A27:F27"/>
    <mergeCell ref="A36:F36"/>
    <mergeCell ref="A37:G41"/>
  </mergeCells>
  <pageMargins left="0.7" right="0.7" top="0.75" bottom="0.75" header="0.3" footer="0.3"/>
  <pageSetup paperSize="5"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4">
    <tabColor rgb="FF00B0F0"/>
  </sheetPr>
  <dimension ref="C3:E25"/>
  <sheetViews>
    <sheetView view="pageLayout" topLeftCell="A7" zoomScaleNormal="100" workbookViewId="0">
      <selection activeCell="D25" sqref="D25"/>
    </sheetView>
  </sheetViews>
  <sheetFormatPr baseColWidth="10" defaultRowHeight="12" x14ac:dyDescent="0.2"/>
  <cols>
    <col min="1" max="2" width="11.42578125" style="729"/>
    <col min="3" max="3" width="6.42578125" style="730" customWidth="1"/>
    <col min="4" max="4" width="86.5703125" style="729" customWidth="1"/>
    <col min="5" max="5" width="21.140625" style="729" customWidth="1"/>
    <col min="6" max="16384" width="11.42578125" style="729"/>
  </cols>
  <sheetData>
    <row r="3" spans="3:5" ht="18" customHeight="1" x14ac:dyDescent="0.2">
      <c r="C3" s="867" t="s">
        <v>538</v>
      </c>
      <c r="D3" s="867"/>
      <c r="E3" s="867"/>
    </row>
    <row r="4" spans="3:5" ht="18" customHeight="1" x14ac:dyDescent="0.2">
      <c r="C4" s="867" t="s">
        <v>1427</v>
      </c>
      <c r="D4" s="867"/>
      <c r="E4" s="867"/>
    </row>
    <row r="5" spans="3:5" ht="17.25" customHeight="1" x14ac:dyDescent="0.2">
      <c r="C5" s="879" t="s">
        <v>543</v>
      </c>
      <c r="D5" s="880"/>
      <c r="E5" s="881"/>
    </row>
    <row r="6" spans="3:5" ht="17.25" customHeight="1" x14ac:dyDescent="0.2">
      <c r="C6" s="1005" t="s">
        <v>1910</v>
      </c>
      <c r="D6" s="1006"/>
      <c r="E6" s="1007"/>
    </row>
    <row r="7" spans="3:5" ht="17.25" customHeight="1" x14ac:dyDescent="0.2">
      <c r="C7" s="882" t="s">
        <v>1911</v>
      </c>
      <c r="D7" s="883"/>
      <c r="E7" s="884"/>
    </row>
    <row r="8" spans="3:5" ht="38.25" customHeight="1" x14ac:dyDescent="0.2">
      <c r="C8" s="700" t="s">
        <v>299</v>
      </c>
      <c r="D8" s="701" t="s">
        <v>0</v>
      </c>
      <c r="E8" s="701" t="s">
        <v>709</v>
      </c>
    </row>
    <row r="9" spans="3:5" ht="18" customHeight="1" x14ac:dyDescent="0.2">
      <c r="C9" s="705">
        <v>1</v>
      </c>
      <c r="D9" s="703" t="s">
        <v>1912</v>
      </c>
      <c r="E9" s="204">
        <v>1220251922</v>
      </c>
    </row>
    <row r="10" spans="3:5" ht="18" customHeight="1" x14ac:dyDescent="0.2">
      <c r="C10" s="705">
        <v>2</v>
      </c>
      <c r="D10" s="703" t="s">
        <v>1913</v>
      </c>
      <c r="E10" s="204">
        <v>144025755</v>
      </c>
    </row>
    <row r="11" spans="3:5" ht="18" customHeight="1" x14ac:dyDescent="0.2">
      <c r="C11" s="705">
        <v>3</v>
      </c>
      <c r="D11" s="703" t="s">
        <v>1914</v>
      </c>
      <c r="E11" s="204">
        <v>219544502</v>
      </c>
    </row>
    <row r="12" spans="3:5" ht="18" customHeight="1" x14ac:dyDescent="0.2">
      <c r="C12" s="705">
        <v>4</v>
      </c>
      <c r="D12" s="703" t="s">
        <v>1915</v>
      </c>
      <c r="E12" s="204">
        <v>127555154</v>
      </c>
    </row>
    <row r="13" spans="3:5" ht="18" customHeight="1" x14ac:dyDescent="0.2">
      <c r="C13" s="705">
        <v>5</v>
      </c>
      <c r="D13" s="703" t="s">
        <v>1916</v>
      </c>
      <c r="E13" s="204">
        <v>1414157483</v>
      </c>
    </row>
    <row r="14" spans="3:5" ht="18" customHeight="1" x14ac:dyDescent="0.2">
      <c r="C14" s="705">
        <v>6</v>
      </c>
      <c r="D14" s="703" t="s">
        <v>1917</v>
      </c>
      <c r="E14" s="204">
        <v>23743336</v>
      </c>
    </row>
    <row r="15" spans="3:5" ht="18" customHeight="1" x14ac:dyDescent="0.2">
      <c r="C15" s="705">
        <v>7</v>
      </c>
      <c r="D15" s="703" t="s">
        <v>1918</v>
      </c>
      <c r="E15" s="204">
        <v>382035388</v>
      </c>
    </row>
    <row r="16" spans="3:5" ht="18" customHeight="1" x14ac:dyDescent="0.2">
      <c r="C16" s="705">
        <v>8</v>
      </c>
      <c r="D16" s="703" t="s">
        <v>1888</v>
      </c>
      <c r="E16" s="204">
        <v>73178139</v>
      </c>
    </row>
    <row r="17" spans="3:5" ht="18" customHeight="1" x14ac:dyDescent="0.2">
      <c r="C17" s="705">
        <v>9</v>
      </c>
      <c r="D17" s="703" t="s">
        <v>1919</v>
      </c>
      <c r="E17" s="204">
        <v>43766800</v>
      </c>
    </row>
    <row r="18" spans="3:5" ht="18" customHeight="1" x14ac:dyDescent="0.2">
      <c r="C18" s="705">
        <v>10</v>
      </c>
      <c r="D18" s="703" t="s">
        <v>1920</v>
      </c>
      <c r="E18" s="204">
        <v>220499978</v>
      </c>
    </row>
    <row r="19" spans="3:5" ht="18" customHeight="1" x14ac:dyDescent="0.2">
      <c r="C19" s="705">
        <v>11</v>
      </c>
      <c r="D19" s="703" t="s">
        <v>1921</v>
      </c>
      <c r="E19" s="204">
        <v>55670776</v>
      </c>
    </row>
    <row r="20" spans="3:5" ht="18" customHeight="1" x14ac:dyDescent="0.2">
      <c r="C20" s="705">
        <v>12</v>
      </c>
      <c r="D20" s="703" t="s">
        <v>1922</v>
      </c>
      <c r="E20" s="204">
        <v>19022858</v>
      </c>
    </row>
    <row r="21" spans="3:5" ht="18" customHeight="1" x14ac:dyDescent="0.2">
      <c r="C21" s="705">
        <v>13</v>
      </c>
      <c r="D21" s="703" t="s">
        <v>1923</v>
      </c>
      <c r="E21" s="204">
        <v>8524060</v>
      </c>
    </row>
    <row r="22" spans="3:5" ht="18" customHeight="1" x14ac:dyDescent="0.2">
      <c r="C22" s="705">
        <v>14</v>
      </c>
      <c r="D22" s="703" t="s">
        <v>1924</v>
      </c>
      <c r="E22" s="204">
        <v>12376000</v>
      </c>
    </row>
    <row r="23" spans="3:5" ht="18" customHeight="1" x14ac:dyDescent="0.2">
      <c r="C23" s="705">
        <v>15</v>
      </c>
      <c r="D23" s="703" t="s">
        <v>1925</v>
      </c>
      <c r="E23" s="204">
        <v>37128000</v>
      </c>
    </row>
    <row r="24" spans="3:5" ht="18" customHeight="1" x14ac:dyDescent="0.2">
      <c r="C24" s="705">
        <v>16</v>
      </c>
      <c r="D24" s="703" t="s">
        <v>1926</v>
      </c>
      <c r="E24" s="204">
        <v>76936748</v>
      </c>
    </row>
    <row r="25" spans="3:5" ht="18" customHeight="1" x14ac:dyDescent="0.2">
      <c r="C25" s="702"/>
      <c r="D25" s="701" t="s">
        <v>710</v>
      </c>
      <c r="E25" s="196">
        <f>SUM(E9:E24)</f>
        <v>4078416899</v>
      </c>
    </row>
  </sheetData>
  <mergeCells count="5">
    <mergeCell ref="C3:E3"/>
    <mergeCell ref="C4:E4"/>
    <mergeCell ref="C5:E5"/>
    <mergeCell ref="C6:E6"/>
    <mergeCell ref="C7:E7"/>
  </mergeCells>
  <pageMargins left="0.7" right="0.7" top="0.75" bottom="0.75" header="0.3" footer="0.3"/>
  <pageSetup paperSize="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rgb="FF00B0F0"/>
  </sheetPr>
  <dimension ref="B3:D85"/>
  <sheetViews>
    <sheetView view="pageLayout" zoomScale="70" zoomScalePageLayoutView="70" workbookViewId="0">
      <selection activeCell="D14" sqref="D14"/>
    </sheetView>
  </sheetViews>
  <sheetFormatPr baseColWidth="10" defaultRowHeight="12" x14ac:dyDescent="0.2"/>
  <cols>
    <col min="1" max="1" width="11.42578125" style="617"/>
    <col min="2" max="2" width="5.7109375" style="627" bestFit="1" customWidth="1"/>
    <col min="3" max="3" width="50.5703125" style="617" bestFit="1" customWidth="1"/>
    <col min="4" max="4" width="20.42578125" style="617" bestFit="1" customWidth="1"/>
    <col min="5" max="16384" width="11.42578125" style="617"/>
  </cols>
  <sheetData>
    <row r="3" spans="2:4" x14ac:dyDescent="0.2">
      <c r="B3" s="899" t="s">
        <v>554</v>
      </c>
      <c r="C3" s="899"/>
      <c r="D3" s="899"/>
    </row>
    <row r="4" spans="2:4" x14ac:dyDescent="0.2">
      <c r="B4" s="899" t="s">
        <v>1414</v>
      </c>
      <c r="C4" s="899"/>
      <c r="D4" s="899"/>
    </row>
    <row r="5" spans="2:4" ht="17.25" customHeight="1" x14ac:dyDescent="0.2">
      <c r="B5" s="874" t="s">
        <v>346</v>
      </c>
      <c r="C5" s="900" t="s">
        <v>555</v>
      </c>
      <c r="D5" s="900" t="s">
        <v>1415</v>
      </c>
    </row>
    <row r="6" spans="2:4" ht="15" customHeight="1" x14ac:dyDescent="0.2">
      <c r="B6" s="876"/>
      <c r="C6" s="900"/>
      <c r="D6" s="900"/>
    </row>
    <row r="7" spans="2:4" ht="15.75" customHeight="1" x14ac:dyDescent="0.2">
      <c r="B7" s="1008">
        <v>1</v>
      </c>
      <c r="C7" s="618" t="s">
        <v>526</v>
      </c>
      <c r="D7" s="582"/>
    </row>
    <row r="8" spans="2:4" ht="15.75" customHeight="1" x14ac:dyDescent="0.2">
      <c r="B8" s="1008"/>
      <c r="C8" s="619" t="s">
        <v>562</v>
      </c>
      <c r="D8" s="620">
        <v>55534091</v>
      </c>
    </row>
    <row r="9" spans="2:4" ht="15.75" customHeight="1" x14ac:dyDescent="0.2">
      <c r="B9" s="1008"/>
      <c r="C9" s="619" t="s">
        <v>559</v>
      </c>
      <c r="D9" s="620">
        <v>2000000</v>
      </c>
    </row>
    <row r="10" spans="2:4" ht="15.75" customHeight="1" x14ac:dyDescent="0.2">
      <c r="B10" s="1008"/>
      <c r="C10" s="618" t="s">
        <v>284</v>
      </c>
      <c r="D10" s="621">
        <f>SUM(D8:D9)</f>
        <v>57534091</v>
      </c>
    </row>
    <row r="11" spans="2:4" ht="15.75" customHeight="1" x14ac:dyDescent="0.2">
      <c r="B11" s="1008">
        <v>2</v>
      </c>
      <c r="C11" s="618" t="s">
        <v>563</v>
      </c>
      <c r="D11" s="582"/>
    </row>
    <row r="12" spans="2:4" ht="15.75" customHeight="1" x14ac:dyDescent="0.2">
      <c r="B12" s="1008"/>
      <c r="C12" s="619" t="s">
        <v>562</v>
      </c>
      <c r="D12" s="620">
        <v>64973353</v>
      </c>
    </row>
    <row r="13" spans="2:4" ht="15.75" customHeight="1" x14ac:dyDescent="0.2">
      <c r="B13" s="1008"/>
      <c r="C13" s="619" t="s">
        <v>559</v>
      </c>
      <c r="D13" s="620">
        <v>2000000</v>
      </c>
    </row>
    <row r="14" spans="2:4" ht="15.75" customHeight="1" x14ac:dyDescent="0.2">
      <c r="B14" s="1008"/>
      <c r="C14" s="618" t="s">
        <v>284</v>
      </c>
      <c r="D14" s="621">
        <f>SUM(D12:D13)</f>
        <v>66973353</v>
      </c>
    </row>
    <row r="15" spans="2:4" ht="15.75" customHeight="1" x14ac:dyDescent="0.2">
      <c r="B15" s="1008">
        <v>3</v>
      </c>
      <c r="C15" s="618" t="s">
        <v>564</v>
      </c>
      <c r="D15" s="582"/>
    </row>
    <row r="16" spans="2:4" ht="15.75" customHeight="1" x14ac:dyDescent="0.2">
      <c r="B16" s="1008"/>
      <c r="C16" s="619" t="s">
        <v>562</v>
      </c>
      <c r="D16" s="620">
        <v>80041732</v>
      </c>
    </row>
    <row r="17" spans="2:4" ht="15.75" customHeight="1" x14ac:dyDescent="0.2">
      <c r="B17" s="1008"/>
      <c r="C17" s="619" t="s">
        <v>559</v>
      </c>
      <c r="D17" s="620">
        <v>2000000</v>
      </c>
    </row>
    <row r="18" spans="2:4" ht="15.75" customHeight="1" x14ac:dyDescent="0.2">
      <c r="B18" s="1008"/>
      <c r="C18" s="618" t="s">
        <v>284</v>
      </c>
      <c r="D18" s="621">
        <f>SUM(D16:D17)</f>
        <v>82041732</v>
      </c>
    </row>
    <row r="19" spans="2:4" ht="15.75" customHeight="1" x14ac:dyDescent="0.2">
      <c r="B19" s="1008">
        <v>4</v>
      </c>
      <c r="C19" s="618" t="s">
        <v>565</v>
      </c>
      <c r="D19" s="582"/>
    </row>
    <row r="20" spans="2:4" ht="15.75" customHeight="1" x14ac:dyDescent="0.2">
      <c r="B20" s="1008"/>
      <c r="C20" s="619" t="s">
        <v>558</v>
      </c>
      <c r="D20" s="620">
        <v>88898102</v>
      </c>
    </row>
    <row r="21" spans="2:4" ht="15.75" customHeight="1" x14ac:dyDescent="0.2">
      <c r="B21" s="1008"/>
      <c r="C21" s="619" t="s">
        <v>559</v>
      </c>
      <c r="D21" s="620">
        <v>2000000</v>
      </c>
    </row>
    <row r="22" spans="2:4" ht="15.75" customHeight="1" x14ac:dyDescent="0.2">
      <c r="B22" s="1008"/>
      <c r="C22" s="618" t="s">
        <v>560</v>
      </c>
      <c r="D22" s="621">
        <f>SUM(D20:D21)</f>
        <v>90898102</v>
      </c>
    </row>
    <row r="23" spans="2:4" ht="15.75" customHeight="1" x14ac:dyDescent="0.2">
      <c r="B23" s="1008">
        <v>5</v>
      </c>
      <c r="C23" s="618" t="s">
        <v>566</v>
      </c>
      <c r="D23" s="618"/>
    </row>
    <row r="24" spans="2:4" ht="15.75" customHeight="1" x14ac:dyDescent="0.2">
      <c r="B24" s="1008"/>
      <c r="C24" s="619" t="s">
        <v>567</v>
      </c>
      <c r="D24" s="620">
        <v>86265348</v>
      </c>
    </row>
    <row r="25" spans="2:4" ht="15.75" customHeight="1" x14ac:dyDescent="0.2">
      <c r="B25" s="1008"/>
      <c r="C25" s="619" t="s">
        <v>559</v>
      </c>
      <c r="D25" s="620">
        <v>2000000</v>
      </c>
    </row>
    <row r="26" spans="2:4" ht="15.75" customHeight="1" x14ac:dyDescent="0.2">
      <c r="B26" s="1008"/>
      <c r="C26" s="618" t="s">
        <v>560</v>
      </c>
      <c r="D26" s="621">
        <f>SUM(D24:D25)</f>
        <v>88265348</v>
      </c>
    </row>
    <row r="27" spans="2:4" ht="15.75" customHeight="1" x14ac:dyDescent="0.2">
      <c r="B27" s="1008">
        <v>6</v>
      </c>
      <c r="C27" s="618" t="s">
        <v>1684</v>
      </c>
      <c r="D27" s="582"/>
    </row>
    <row r="28" spans="2:4" ht="15.75" customHeight="1" x14ac:dyDescent="0.2">
      <c r="B28" s="1008"/>
      <c r="C28" s="619" t="s">
        <v>562</v>
      </c>
      <c r="D28" s="620">
        <v>57788177</v>
      </c>
    </row>
    <row r="29" spans="2:4" ht="15.75" customHeight="1" x14ac:dyDescent="0.2">
      <c r="B29" s="1008"/>
      <c r="C29" s="619" t="s">
        <v>559</v>
      </c>
      <c r="D29" s="620">
        <v>2000000</v>
      </c>
    </row>
    <row r="30" spans="2:4" ht="15.75" customHeight="1" x14ac:dyDescent="0.2">
      <c r="B30" s="1008"/>
      <c r="C30" s="618" t="s">
        <v>560</v>
      </c>
      <c r="D30" s="621">
        <f>SUM(D28:D29)</f>
        <v>59788177</v>
      </c>
    </row>
    <row r="31" spans="2:4" ht="15.75" customHeight="1" x14ac:dyDescent="0.2">
      <c r="B31" s="1008">
        <v>7</v>
      </c>
      <c r="C31" s="622" t="s">
        <v>569</v>
      </c>
      <c r="D31" s="623"/>
    </row>
    <row r="32" spans="2:4" ht="15.75" customHeight="1" x14ac:dyDescent="0.2">
      <c r="B32" s="1008"/>
      <c r="C32" s="624" t="s">
        <v>558</v>
      </c>
      <c r="D32" s="625">
        <v>77230157</v>
      </c>
    </row>
    <row r="33" spans="2:4" ht="15.75" customHeight="1" x14ac:dyDescent="0.2">
      <c r="B33" s="1008"/>
      <c r="C33" s="624" t="s">
        <v>559</v>
      </c>
      <c r="D33" s="625">
        <v>2000000</v>
      </c>
    </row>
    <row r="34" spans="2:4" ht="15.75" customHeight="1" x14ac:dyDescent="0.2">
      <c r="B34" s="1008"/>
      <c r="C34" s="622" t="s">
        <v>560</v>
      </c>
      <c r="D34" s="626">
        <f>SUM(D32:D33)</f>
        <v>79230157</v>
      </c>
    </row>
    <row r="35" spans="2:4" ht="15.75" customHeight="1" x14ac:dyDescent="0.2">
      <c r="B35" s="1008">
        <v>8</v>
      </c>
      <c r="C35" s="622" t="s">
        <v>571</v>
      </c>
      <c r="D35" s="623"/>
    </row>
    <row r="36" spans="2:4" ht="15.75" customHeight="1" x14ac:dyDescent="0.2">
      <c r="B36" s="1008"/>
      <c r="C36" s="624" t="s">
        <v>558</v>
      </c>
      <c r="D36" s="625">
        <v>99726014</v>
      </c>
    </row>
    <row r="37" spans="2:4" ht="15.75" customHeight="1" x14ac:dyDescent="0.2">
      <c r="B37" s="1008"/>
      <c r="C37" s="624" t="s">
        <v>559</v>
      </c>
      <c r="D37" s="625">
        <v>2000000</v>
      </c>
    </row>
    <row r="38" spans="2:4" ht="15.75" customHeight="1" x14ac:dyDescent="0.2">
      <c r="B38" s="1008"/>
      <c r="C38" s="622" t="s">
        <v>560</v>
      </c>
      <c r="D38" s="626">
        <f>SUM(D36:D37)</f>
        <v>101726014</v>
      </c>
    </row>
    <row r="39" spans="2:4" ht="15.75" customHeight="1" x14ac:dyDescent="0.2">
      <c r="B39" s="1008">
        <v>9</v>
      </c>
      <c r="C39" s="622" t="s">
        <v>573</v>
      </c>
      <c r="D39" s="623"/>
    </row>
    <row r="40" spans="2:4" ht="15.75" customHeight="1" x14ac:dyDescent="0.2">
      <c r="B40" s="1008"/>
      <c r="C40" s="624" t="s">
        <v>558</v>
      </c>
      <c r="D40" s="625">
        <v>71322469</v>
      </c>
    </row>
    <row r="41" spans="2:4" ht="15.75" customHeight="1" x14ac:dyDescent="0.2">
      <c r="B41" s="1008"/>
      <c r="C41" s="624" t="s">
        <v>559</v>
      </c>
      <c r="D41" s="625">
        <v>2000000</v>
      </c>
    </row>
    <row r="42" spans="2:4" ht="15.75" customHeight="1" x14ac:dyDescent="0.2">
      <c r="B42" s="1008"/>
      <c r="C42" s="622" t="s">
        <v>560</v>
      </c>
      <c r="D42" s="626">
        <f>SUM(D40:D41)</f>
        <v>73322469</v>
      </c>
    </row>
    <row r="43" spans="2:4" ht="15.75" customHeight="1" x14ac:dyDescent="0.2">
      <c r="B43" s="1008">
        <v>10</v>
      </c>
      <c r="C43" s="622" t="s">
        <v>574</v>
      </c>
      <c r="D43" s="623"/>
    </row>
    <row r="44" spans="2:4" ht="15.75" customHeight="1" x14ac:dyDescent="0.2">
      <c r="B44" s="1008"/>
      <c r="C44" s="624" t="s">
        <v>558</v>
      </c>
      <c r="D44" s="625">
        <v>68577978</v>
      </c>
    </row>
    <row r="45" spans="2:4" ht="15.75" customHeight="1" x14ac:dyDescent="0.2">
      <c r="B45" s="1008"/>
      <c r="C45" s="624" t="s">
        <v>559</v>
      </c>
      <c r="D45" s="625">
        <v>2000000</v>
      </c>
    </row>
    <row r="46" spans="2:4" ht="15.75" customHeight="1" x14ac:dyDescent="0.2">
      <c r="B46" s="1008"/>
      <c r="C46" s="622" t="s">
        <v>560</v>
      </c>
      <c r="D46" s="626">
        <f>SUM(D44:D45)</f>
        <v>70577978</v>
      </c>
    </row>
    <row r="47" spans="2:4" ht="15.75" customHeight="1" x14ac:dyDescent="0.2">
      <c r="B47" s="1008">
        <v>11</v>
      </c>
      <c r="C47" s="622" t="s">
        <v>577</v>
      </c>
      <c r="D47" s="623"/>
    </row>
    <row r="48" spans="2:4" ht="15.75" customHeight="1" x14ac:dyDescent="0.2">
      <c r="B48" s="1008"/>
      <c r="C48" s="624" t="s">
        <v>558</v>
      </c>
      <c r="D48" s="625">
        <v>85144540</v>
      </c>
    </row>
    <row r="49" spans="2:4" ht="15.75" customHeight="1" x14ac:dyDescent="0.2">
      <c r="B49" s="1008"/>
      <c r="C49" s="624" t="s">
        <v>559</v>
      </c>
      <c r="D49" s="625">
        <v>2000000</v>
      </c>
    </row>
    <row r="50" spans="2:4" ht="15.75" customHeight="1" x14ac:dyDescent="0.2">
      <c r="B50" s="1008"/>
      <c r="C50" s="622" t="s">
        <v>284</v>
      </c>
      <c r="D50" s="626">
        <f>SUM(D48:D49)</f>
        <v>87144540</v>
      </c>
    </row>
    <row r="51" spans="2:4" ht="15.75" customHeight="1" x14ac:dyDescent="0.2">
      <c r="B51" s="1008">
        <v>12</v>
      </c>
      <c r="C51" s="622" t="s">
        <v>358</v>
      </c>
      <c r="D51" s="622"/>
    </row>
    <row r="52" spans="2:4" ht="15.75" customHeight="1" x14ac:dyDescent="0.2">
      <c r="B52" s="1008"/>
      <c r="C52" s="624" t="s">
        <v>558</v>
      </c>
      <c r="D52" s="625">
        <v>32494230</v>
      </c>
    </row>
    <row r="53" spans="2:4" ht="15.75" customHeight="1" x14ac:dyDescent="0.2">
      <c r="B53" s="1008"/>
      <c r="C53" s="624" t="s">
        <v>559</v>
      </c>
      <c r="D53" s="625">
        <v>2000000</v>
      </c>
    </row>
    <row r="54" spans="2:4" ht="15.75" customHeight="1" x14ac:dyDescent="0.2">
      <c r="B54" s="1008"/>
      <c r="C54" s="622" t="s">
        <v>560</v>
      </c>
      <c r="D54" s="626">
        <f>SUM(D52:D53)</f>
        <v>34494230</v>
      </c>
    </row>
    <row r="55" spans="2:4" ht="15.75" customHeight="1" x14ac:dyDescent="0.2">
      <c r="B55" s="1008">
        <v>13</v>
      </c>
      <c r="C55" s="622" t="s">
        <v>580</v>
      </c>
      <c r="D55" s="623"/>
    </row>
    <row r="56" spans="2:4" ht="15.75" customHeight="1" x14ac:dyDescent="0.2">
      <c r="B56" s="1008"/>
      <c r="C56" s="624" t="s">
        <v>558</v>
      </c>
      <c r="D56" s="625">
        <v>56568845</v>
      </c>
    </row>
    <row r="57" spans="2:4" ht="15.75" customHeight="1" x14ac:dyDescent="0.2">
      <c r="B57" s="1008"/>
      <c r="C57" s="624" t="s">
        <v>559</v>
      </c>
      <c r="D57" s="625">
        <v>2000000</v>
      </c>
    </row>
    <row r="58" spans="2:4" ht="15.75" customHeight="1" x14ac:dyDescent="0.2">
      <c r="B58" s="1008"/>
      <c r="C58" s="622" t="s">
        <v>560</v>
      </c>
      <c r="D58" s="626">
        <f>SUM(D56:D57)</f>
        <v>58568845</v>
      </c>
    </row>
    <row r="59" spans="2:4" ht="15.75" customHeight="1" x14ac:dyDescent="0.2">
      <c r="B59" s="1008">
        <v>14</v>
      </c>
      <c r="C59" s="622" t="s">
        <v>513</v>
      </c>
      <c r="D59" s="623"/>
    </row>
    <row r="60" spans="2:4" ht="15.75" customHeight="1" x14ac:dyDescent="0.2">
      <c r="B60" s="1008"/>
      <c r="C60" s="624" t="s">
        <v>558</v>
      </c>
      <c r="D60" s="625">
        <v>90651995</v>
      </c>
    </row>
    <row r="61" spans="2:4" ht="15.75" customHeight="1" x14ac:dyDescent="0.2">
      <c r="B61" s="1008"/>
      <c r="C61" s="624" t="s">
        <v>559</v>
      </c>
      <c r="D61" s="625">
        <v>2000000</v>
      </c>
    </row>
    <row r="62" spans="2:4" ht="15.75" customHeight="1" x14ac:dyDescent="0.2">
      <c r="B62" s="1008"/>
      <c r="C62" s="622" t="s">
        <v>560</v>
      </c>
      <c r="D62" s="626">
        <f>SUM(D60:D61)</f>
        <v>92651995</v>
      </c>
    </row>
    <row r="63" spans="2:4" s="688" customFormat="1" ht="15.75" customHeight="1" x14ac:dyDescent="0.2">
      <c r="B63" s="592"/>
      <c r="C63" s="684"/>
      <c r="D63" s="685"/>
    </row>
    <row r="64" spans="2:4" s="688" customFormat="1" ht="15.75" customHeight="1" x14ac:dyDescent="0.2">
      <c r="B64" s="585"/>
      <c r="C64" s="686"/>
      <c r="D64" s="687"/>
    </row>
    <row r="65" spans="2:4" s="688" customFormat="1" ht="15.75" customHeight="1" x14ac:dyDescent="0.2">
      <c r="B65" s="614"/>
      <c r="C65" s="686"/>
      <c r="D65" s="687"/>
    </row>
    <row r="66" spans="2:4" s="688" customFormat="1" ht="15.75" customHeight="1" x14ac:dyDescent="0.2">
      <c r="B66" s="614"/>
      <c r="C66" s="686"/>
      <c r="D66" s="687"/>
    </row>
    <row r="67" spans="2:4" s="688" customFormat="1" ht="15.75" customHeight="1" x14ac:dyDescent="0.2">
      <c r="B67" s="585"/>
      <c r="C67" s="686"/>
      <c r="D67" s="687"/>
    </row>
    <row r="68" spans="2:4" s="688" customFormat="1" ht="15.75" customHeight="1" x14ac:dyDescent="0.2">
      <c r="B68" s="585"/>
      <c r="C68" s="686"/>
      <c r="D68" s="687"/>
    </row>
    <row r="69" spans="2:4" s="688" customFormat="1" ht="15.75" customHeight="1" x14ac:dyDescent="0.2">
      <c r="B69" s="585"/>
      <c r="C69" s="686"/>
      <c r="D69" s="687"/>
    </row>
    <row r="70" spans="2:4" s="688" customFormat="1" ht="15.75" customHeight="1" x14ac:dyDescent="0.2">
      <c r="B70" s="614"/>
      <c r="C70" s="686"/>
      <c r="D70" s="687"/>
    </row>
    <row r="71" spans="2:4" s="688" customFormat="1" ht="15.75" customHeight="1" x14ac:dyDescent="0.2">
      <c r="B71" s="614"/>
      <c r="C71" s="686"/>
      <c r="D71" s="687"/>
    </row>
    <row r="72" spans="2:4" s="688" customFormat="1" ht="15.75" customHeight="1" x14ac:dyDescent="0.2">
      <c r="B72" s="1008">
        <v>15</v>
      </c>
      <c r="C72" s="618" t="s">
        <v>1902</v>
      </c>
      <c r="D72" s="582"/>
    </row>
    <row r="73" spans="2:4" s="688" customFormat="1" ht="15.75" customHeight="1" x14ac:dyDescent="0.2">
      <c r="B73" s="1008"/>
      <c r="C73" s="619" t="s">
        <v>558</v>
      </c>
      <c r="D73" s="620">
        <v>345000000</v>
      </c>
    </row>
    <row r="74" spans="2:4" s="688" customFormat="1" ht="15.75" customHeight="1" x14ac:dyDescent="0.2">
      <c r="B74" s="1008"/>
      <c r="C74" s="619" t="s">
        <v>559</v>
      </c>
      <c r="D74" s="620">
        <v>5000000</v>
      </c>
    </row>
    <row r="75" spans="2:4" s="688" customFormat="1" ht="15.75" customHeight="1" x14ac:dyDescent="0.2">
      <c r="B75" s="1008"/>
      <c r="C75" s="618" t="s">
        <v>560</v>
      </c>
      <c r="D75" s="621">
        <f t="shared" ref="D75" si="0">SUM(D73:D74)</f>
        <v>350000000</v>
      </c>
    </row>
    <row r="76" spans="2:4" ht="15.75" customHeight="1" x14ac:dyDescent="0.2">
      <c r="B76" s="1008">
        <v>16</v>
      </c>
      <c r="C76" s="618" t="s">
        <v>1903</v>
      </c>
      <c r="D76" s="582"/>
    </row>
    <row r="77" spans="2:4" ht="15.75" customHeight="1" x14ac:dyDescent="0.2">
      <c r="B77" s="1008"/>
      <c r="C77" s="619" t="s">
        <v>558</v>
      </c>
      <c r="D77" s="620">
        <v>345000000</v>
      </c>
    </row>
    <row r="78" spans="2:4" ht="15.75" customHeight="1" x14ac:dyDescent="0.2">
      <c r="B78" s="1008"/>
      <c r="C78" s="619" t="s">
        <v>559</v>
      </c>
      <c r="D78" s="620">
        <v>5000000</v>
      </c>
    </row>
    <row r="79" spans="2:4" ht="15.75" customHeight="1" x14ac:dyDescent="0.2">
      <c r="B79" s="1008"/>
      <c r="C79" s="618" t="s">
        <v>560</v>
      </c>
      <c r="D79" s="621">
        <f t="shared" ref="D79" si="1">SUM(D77:D78)</f>
        <v>350000000</v>
      </c>
    </row>
    <row r="80" spans="2:4" x14ac:dyDescent="0.2">
      <c r="B80" s="899" t="s">
        <v>298</v>
      </c>
      <c r="C80" s="899"/>
      <c r="D80" s="556">
        <f>+D79+D75+D62+D58+D54+D50+D46+D42+D38+D34+D30+D26+D22+D18+D14+D10</f>
        <v>1743217031</v>
      </c>
    </row>
    <row r="81" spans="2:4" x14ac:dyDescent="0.2">
      <c r="B81" s="952" t="s">
        <v>583</v>
      </c>
      <c r="C81" s="953"/>
      <c r="D81" s="689">
        <f>D80*0.7</f>
        <v>1220251921.6999998</v>
      </c>
    </row>
    <row r="82" spans="2:4" ht="20.25" customHeight="1" x14ac:dyDescent="0.2">
      <c r="B82" s="1009" t="s">
        <v>581</v>
      </c>
      <c r="C82" s="1010"/>
      <c r="D82" s="1011"/>
    </row>
    <row r="83" spans="2:4" ht="15" customHeight="1" x14ac:dyDescent="0.2">
      <c r="B83" s="1012"/>
      <c r="C83" s="1013"/>
      <c r="D83" s="1014"/>
    </row>
    <row r="84" spans="2:4" ht="15.75" customHeight="1" x14ac:dyDescent="0.2">
      <c r="B84" s="1012"/>
      <c r="C84" s="1013"/>
      <c r="D84" s="1014"/>
    </row>
    <row r="85" spans="2:4" ht="18" customHeight="1" x14ac:dyDescent="0.2">
      <c r="B85" s="1015"/>
      <c r="C85" s="1016"/>
      <c r="D85" s="1017"/>
    </row>
  </sheetData>
  <mergeCells count="24">
    <mergeCell ref="B35:B38"/>
    <mergeCell ref="B11:B14"/>
    <mergeCell ref="B3:D3"/>
    <mergeCell ref="B4:D4"/>
    <mergeCell ref="C5:C6"/>
    <mergeCell ref="D5:D6"/>
    <mergeCell ref="B7:B10"/>
    <mergeCell ref="B5:B6"/>
    <mergeCell ref="B15:B18"/>
    <mergeCell ref="B19:B22"/>
    <mergeCell ref="B23:B26"/>
    <mergeCell ref="B27:B30"/>
    <mergeCell ref="B31:B34"/>
    <mergeCell ref="B47:B50"/>
    <mergeCell ref="B51:B54"/>
    <mergeCell ref="B39:B42"/>
    <mergeCell ref="B43:B46"/>
    <mergeCell ref="B82:D85"/>
    <mergeCell ref="B59:B62"/>
    <mergeCell ref="B80:C80"/>
    <mergeCell ref="B55:B58"/>
    <mergeCell ref="B76:B79"/>
    <mergeCell ref="B81:C81"/>
    <mergeCell ref="B72:B75"/>
  </mergeCells>
  <printOptions horizontalCentered="1"/>
  <pageMargins left="0.7" right="0.7" top="0.75" bottom="1.54" header="0.3" footer="0.96"/>
  <pageSetup paperSize="5" scale="80" orientation="portrait" r:id="rId1"/>
  <headerFooter>
    <oddFooter xml:space="preserve">&amp;C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rgb="FF00B0F0"/>
  </sheetPr>
  <dimension ref="A1:K51"/>
  <sheetViews>
    <sheetView view="pageLayout" zoomScaleNormal="100" workbookViewId="0">
      <selection activeCell="H56" sqref="H56"/>
    </sheetView>
  </sheetViews>
  <sheetFormatPr baseColWidth="10" defaultRowHeight="15" x14ac:dyDescent="0.25"/>
  <cols>
    <col min="1" max="1" width="6.85546875" style="262" customWidth="1"/>
    <col min="2" max="2" width="22.85546875" customWidth="1"/>
    <col min="11" max="11" width="12.85546875" customWidth="1"/>
  </cols>
  <sheetData>
    <row r="1" spans="1:11" s="113" customFormat="1" x14ac:dyDescent="0.25">
      <c r="A1" s="262"/>
    </row>
    <row r="2" spans="1:11" s="113" customFormat="1" x14ac:dyDescent="0.25">
      <c r="A2" s="1018"/>
      <c r="B2" s="1018"/>
      <c r="C2" s="1018"/>
      <c r="D2" s="1018"/>
      <c r="E2" s="1018"/>
      <c r="F2" s="1018"/>
      <c r="G2" s="1018"/>
      <c r="H2" s="1018"/>
      <c r="I2" s="1018"/>
      <c r="J2" s="1018"/>
      <c r="K2" s="1018"/>
    </row>
    <row r="3" spans="1:11" x14ac:dyDescent="0.25">
      <c r="A3" s="944" t="s">
        <v>1889</v>
      </c>
      <c r="B3" s="944"/>
      <c r="C3" s="944"/>
      <c r="D3" s="944"/>
      <c r="E3" s="944"/>
      <c r="F3" s="944"/>
      <c r="G3" s="944"/>
      <c r="H3" s="944"/>
      <c r="I3" s="944"/>
      <c r="J3" s="944"/>
      <c r="K3" s="944"/>
    </row>
    <row r="4" spans="1:11" ht="159" customHeight="1" x14ac:dyDescent="0.25">
      <c r="A4" s="228" t="s">
        <v>346</v>
      </c>
      <c r="B4" s="228" t="s">
        <v>287</v>
      </c>
      <c r="C4" s="260" t="s">
        <v>1445</v>
      </c>
      <c r="D4" s="260" t="s">
        <v>1448</v>
      </c>
      <c r="E4" s="228" t="s">
        <v>1449</v>
      </c>
      <c r="F4" s="228" t="s">
        <v>1450</v>
      </c>
      <c r="G4" s="228" t="s">
        <v>1451</v>
      </c>
      <c r="H4" s="228" t="s">
        <v>1457</v>
      </c>
      <c r="I4" s="261" t="s">
        <v>1458</v>
      </c>
      <c r="J4" s="261" t="s">
        <v>1459</v>
      </c>
      <c r="K4" s="261" t="s">
        <v>1460</v>
      </c>
    </row>
    <row r="5" spans="1:11" ht="18" customHeight="1" x14ac:dyDescent="0.25">
      <c r="A5" s="230">
        <v>1</v>
      </c>
      <c r="B5" s="254" t="s">
        <v>241</v>
      </c>
      <c r="C5" s="263">
        <v>0</v>
      </c>
      <c r="D5" s="263">
        <v>0</v>
      </c>
      <c r="E5" s="219">
        <v>157356</v>
      </c>
      <c r="F5" s="219">
        <v>0</v>
      </c>
      <c r="G5" s="219">
        <v>273784</v>
      </c>
      <c r="H5" s="219">
        <v>203182</v>
      </c>
      <c r="I5" s="219">
        <v>715000</v>
      </c>
      <c r="J5" s="219">
        <v>356380</v>
      </c>
      <c r="K5" s="219">
        <f t="shared" ref="K5:K48" si="0">SUM(C5:J5)</f>
        <v>1705702</v>
      </c>
    </row>
    <row r="6" spans="1:11" ht="18" customHeight="1" x14ac:dyDescent="0.25">
      <c r="A6" s="230">
        <v>2</v>
      </c>
      <c r="B6" s="254" t="s">
        <v>242</v>
      </c>
      <c r="C6" s="263">
        <v>0</v>
      </c>
      <c r="D6" s="263">
        <v>0</v>
      </c>
      <c r="E6" s="219">
        <v>314712</v>
      </c>
      <c r="F6" s="219">
        <v>0</v>
      </c>
      <c r="G6" s="219">
        <v>0</v>
      </c>
      <c r="H6" s="219">
        <v>290260</v>
      </c>
      <c r="I6" s="219">
        <v>1287000</v>
      </c>
      <c r="J6" s="219">
        <v>712760</v>
      </c>
      <c r="K6" s="219">
        <f t="shared" si="0"/>
        <v>2604732</v>
      </c>
    </row>
    <row r="7" spans="1:11" ht="18" customHeight="1" x14ac:dyDescent="0.25">
      <c r="A7" s="230">
        <v>3</v>
      </c>
      <c r="B7" s="254" t="s">
        <v>243</v>
      </c>
      <c r="C7" s="263">
        <v>0</v>
      </c>
      <c r="D7" s="263">
        <v>0</v>
      </c>
      <c r="E7" s="219">
        <v>78678</v>
      </c>
      <c r="F7" s="219">
        <v>0</v>
      </c>
      <c r="G7" s="219">
        <v>0</v>
      </c>
      <c r="H7" s="219">
        <v>0</v>
      </c>
      <c r="I7" s="219">
        <v>0</v>
      </c>
      <c r="J7" s="219">
        <v>0</v>
      </c>
      <c r="K7" s="219">
        <f t="shared" si="0"/>
        <v>78678</v>
      </c>
    </row>
    <row r="8" spans="1:11" ht="18" customHeight="1" x14ac:dyDescent="0.25">
      <c r="A8" s="230">
        <v>4</v>
      </c>
      <c r="B8" s="254" t="s">
        <v>244</v>
      </c>
      <c r="C8" s="263">
        <v>0</v>
      </c>
      <c r="D8" s="263">
        <v>0</v>
      </c>
      <c r="E8" s="219">
        <v>157356</v>
      </c>
      <c r="F8" s="219">
        <v>0</v>
      </c>
      <c r="G8" s="219">
        <v>0</v>
      </c>
      <c r="H8" s="219">
        <v>203182</v>
      </c>
      <c r="I8" s="219">
        <v>715000</v>
      </c>
      <c r="J8" s="219">
        <v>356380</v>
      </c>
      <c r="K8" s="219">
        <f t="shared" si="0"/>
        <v>1431918</v>
      </c>
    </row>
    <row r="9" spans="1:11" ht="18" customHeight="1" x14ac:dyDescent="0.25">
      <c r="A9" s="230">
        <v>5</v>
      </c>
      <c r="B9" s="254" t="s">
        <v>245</v>
      </c>
      <c r="C9" s="263">
        <v>0</v>
      </c>
      <c r="D9" s="263">
        <v>0</v>
      </c>
      <c r="E9" s="219">
        <v>78678</v>
      </c>
      <c r="F9" s="219">
        <v>73968</v>
      </c>
      <c r="G9" s="219">
        <v>469344</v>
      </c>
      <c r="H9" s="219">
        <v>145130</v>
      </c>
      <c r="I9" s="219">
        <v>500500</v>
      </c>
      <c r="J9" s="219">
        <v>356380</v>
      </c>
      <c r="K9" s="219">
        <f t="shared" si="0"/>
        <v>1624000</v>
      </c>
    </row>
    <row r="10" spans="1:11" ht="18" customHeight="1" x14ac:dyDescent="0.25">
      <c r="A10" s="230">
        <v>6</v>
      </c>
      <c r="B10" s="254" t="s">
        <v>246</v>
      </c>
      <c r="C10" s="263">
        <v>0</v>
      </c>
      <c r="D10" s="263">
        <v>0</v>
      </c>
      <c r="E10" s="219">
        <v>139872</v>
      </c>
      <c r="F10" s="219">
        <v>184920</v>
      </c>
      <c r="G10" s="219">
        <v>156448</v>
      </c>
      <c r="H10" s="219">
        <v>87078</v>
      </c>
      <c r="I10" s="219">
        <v>0</v>
      </c>
      <c r="J10" s="219">
        <v>178190</v>
      </c>
      <c r="K10" s="219">
        <f t="shared" si="0"/>
        <v>746508</v>
      </c>
    </row>
    <row r="11" spans="1:11" ht="18" customHeight="1" x14ac:dyDescent="0.25">
      <c r="A11" s="230">
        <v>7</v>
      </c>
      <c r="B11" s="254" t="s">
        <v>526</v>
      </c>
      <c r="C11" s="263">
        <v>0</v>
      </c>
      <c r="D11" s="263">
        <v>0</v>
      </c>
      <c r="E11" s="219">
        <v>78678</v>
      </c>
      <c r="F11" s="219">
        <v>61640</v>
      </c>
      <c r="G11" s="219">
        <v>78224</v>
      </c>
      <c r="H11" s="219">
        <v>87078</v>
      </c>
      <c r="I11" s="219">
        <v>429000</v>
      </c>
      <c r="J11" s="219">
        <v>356380</v>
      </c>
      <c r="K11" s="219">
        <f t="shared" si="0"/>
        <v>1091000</v>
      </c>
    </row>
    <row r="12" spans="1:11" ht="18" customHeight="1" x14ac:dyDescent="0.25">
      <c r="A12" s="230">
        <v>8</v>
      </c>
      <c r="B12" s="254" t="s">
        <v>248</v>
      </c>
      <c r="C12" s="263">
        <v>0</v>
      </c>
      <c r="D12" s="263">
        <v>0</v>
      </c>
      <c r="E12" s="219">
        <v>87420</v>
      </c>
      <c r="F12" s="219">
        <v>61640</v>
      </c>
      <c r="G12" s="219">
        <v>78224</v>
      </c>
      <c r="H12" s="219">
        <v>87078</v>
      </c>
      <c r="I12" s="219">
        <v>500500</v>
      </c>
      <c r="J12" s="219">
        <v>178190</v>
      </c>
      <c r="K12" s="219">
        <f t="shared" si="0"/>
        <v>993052</v>
      </c>
    </row>
    <row r="13" spans="1:11" ht="18" customHeight="1" x14ac:dyDescent="0.25">
      <c r="A13" s="230">
        <v>9</v>
      </c>
      <c r="B13" s="258" t="s">
        <v>249</v>
      </c>
      <c r="C13" s="263">
        <v>0</v>
      </c>
      <c r="D13" s="263">
        <v>0</v>
      </c>
      <c r="E13" s="219">
        <v>78678</v>
      </c>
      <c r="F13" s="219">
        <v>61640</v>
      </c>
      <c r="G13" s="219">
        <v>78224</v>
      </c>
      <c r="H13" s="219">
        <v>87078</v>
      </c>
      <c r="I13" s="219">
        <v>500500</v>
      </c>
      <c r="J13" s="219">
        <v>142552</v>
      </c>
      <c r="K13" s="219">
        <f t="shared" si="0"/>
        <v>948672</v>
      </c>
    </row>
    <row r="14" spans="1:11" ht="18" customHeight="1" x14ac:dyDescent="0.25">
      <c r="A14" s="230">
        <v>10</v>
      </c>
      <c r="B14" s="254" t="s">
        <v>250</v>
      </c>
      <c r="C14" s="263">
        <v>0</v>
      </c>
      <c r="D14" s="263">
        <v>0</v>
      </c>
      <c r="E14" s="219">
        <v>87420</v>
      </c>
      <c r="F14" s="219">
        <v>61640</v>
      </c>
      <c r="G14" s="219">
        <v>156448</v>
      </c>
      <c r="H14" s="219">
        <v>145130</v>
      </c>
      <c r="I14" s="219">
        <v>536250</v>
      </c>
      <c r="J14" s="219">
        <v>106914</v>
      </c>
      <c r="K14" s="219">
        <f t="shared" si="0"/>
        <v>1093802</v>
      </c>
    </row>
    <row r="15" spans="1:11" ht="18" customHeight="1" x14ac:dyDescent="0.25">
      <c r="A15" s="230">
        <v>11</v>
      </c>
      <c r="B15" s="254" t="s">
        <v>251</v>
      </c>
      <c r="C15" s="263">
        <v>0</v>
      </c>
      <c r="D15" s="263">
        <v>0</v>
      </c>
      <c r="E15" s="219">
        <v>131130</v>
      </c>
      <c r="F15" s="219">
        <v>61640</v>
      </c>
      <c r="G15" s="219">
        <v>195560</v>
      </c>
      <c r="H15" s="219">
        <v>87078</v>
      </c>
      <c r="I15" s="219">
        <v>536250</v>
      </c>
      <c r="J15" s="219">
        <v>89095</v>
      </c>
      <c r="K15" s="219">
        <f t="shared" si="0"/>
        <v>1100753</v>
      </c>
    </row>
    <row r="16" spans="1:11" ht="18" customHeight="1" x14ac:dyDescent="0.25">
      <c r="A16" s="230">
        <v>12</v>
      </c>
      <c r="B16" s="254" t="s">
        <v>252</v>
      </c>
      <c r="C16" s="263">
        <v>0</v>
      </c>
      <c r="D16" s="263">
        <v>0</v>
      </c>
      <c r="E16" s="219">
        <v>65565</v>
      </c>
      <c r="F16" s="219">
        <v>92460</v>
      </c>
      <c r="G16" s="219">
        <v>78224</v>
      </c>
      <c r="H16" s="219">
        <v>145130</v>
      </c>
      <c r="I16" s="219">
        <v>536250</v>
      </c>
      <c r="J16" s="219">
        <v>71276</v>
      </c>
      <c r="K16" s="219">
        <f t="shared" si="0"/>
        <v>988905</v>
      </c>
    </row>
    <row r="17" spans="1:11" ht="18" customHeight="1" x14ac:dyDescent="0.25">
      <c r="A17" s="230">
        <v>13</v>
      </c>
      <c r="B17" s="254" t="s">
        <v>253</v>
      </c>
      <c r="C17" s="263">
        <v>0</v>
      </c>
      <c r="D17" s="263">
        <v>0</v>
      </c>
      <c r="E17" s="219">
        <v>131130</v>
      </c>
      <c r="F17" s="219">
        <v>61640</v>
      </c>
      <c r="G17" s="219">
        <v>78224</v>
      </c>
      <c r="H17" s="219">
        <v>116104</v>
      </c>
      <c r="I17" s="219">
        <v>429000</v>
      </c>
      <c r="J17" s="219">
        <v>106914</v>
      </c>
      <c r="K17" s="219">
        <f t="shared" si="0"/>
        <v>923012</v>
      </c>
    </row>
    <row r="18" spans="1:11" ht="18" customHeight="1" x14ac:dyDescent="0.25">
      <c r="A18" s="230">
        <v>14</v>
      </c>
      <c r="B18" s="258" t="s">
        <v>254</v>
      </c>
      <c r="C18" s="263">
        <v>0</v>
      </c>
      <c r="D18" s="263">
        <v>0</v>
      </c>
      <c r="E18" s="219">
        <v>78678</v>
      </c>
      <c r="F18" s="219">
        <v>0</v>
      </c>
      <c r="G18" s="219">
        <v>0</v>
      </c>
      <c r="H18" s="219">
        <v>116104</v>
      </c>
      <c r="I18" s="219">
        <v>429000</v>
      </c>
      <c r="J18" s="219">
        <v>106914</v>
      </c>
      <c r="K18" s="219">
        <f t="shared" si="0"/>
        <v>730696</v>
      </c>
    </row>
    <row r="19" spans="1:11" ht="18" customHeight="1" x14ac:dyDescent="0.25">
      <c r="A19" s="230">
        <v>15</v>
      </c>
      <c r="B19" s="254" t="s">
        <v>255</v>
      </c>
      <c r="C19" s="263">
        <v>0</v>
      </c>
      <c r="D19" s="263">
        <v>0</v>
      </c>
      <c r="E19" s="219">
        <v>26226</v>
      </c>
      <c r="F19" s="219">
        <v>73968</v>
      </c>
      <c r="G19" s="219">
        <v>78224</v>
      </c>
      <c r="H19" s="219">
        <v>0</v>
      </c>
      <c r="I19" s="219">
        <v>429000</v>
      </c>
      <c r="J19" s="219">
        <v>106914</v>
      </c>
      <c r="K19" s="219">
        <f t="shared" si="0"/>
        <v>714332</v>
      </c>
    </row>
    <row r="20" spans="1:11" ht="18" customHeight="1" x14ac:dyDescent="0.25">
      <c r="A20" s="230">
        <v>16</v>
      </c>
      <c r="B20" s="254" t="s">
        <v>256</v>
      </c>
      <c r="C20" s="263">
        <v>0</v>
      </c>
      <c r="D20" s="263">
        <v>0</v>
      </c>
      <c r="E20" s="219">
        <v>78678</v>
      </c>
      <c r="F20" s="219">
        <v>0</v>
      </c>
      <c r="G20" s="219">
        <v>0</v>
      </c>
      <c r="H20" s="219">
        <v>116104</v>
      </c>
      <c r="I20" s="219">
        <v>321750</v>
      </c>
      <c r="J20" s="219">
        <v>106914</v>
      </c>
      <c r="K20" s="219">
        <f t="shared" si="0"/>
        <v>623446</v>
      </c>
    </row>
    <row r="21" spans="1:11" ht="18" customHeight="1" x14ac:dyDescent="0.25">
      <c r="A21" s="230">
        <v>17</v>
      </c>
      <c r="B21" s="254" t="s">
        <v>257</v>
      </c>
      <c r="C21" s="263">
        <v>0</v>
      </c>
      <c r="D21" s="263">
        <v>0</v>
      </c>
      <c r="E21" s="219">
        <v>78678</v>
      </c>
      <c r="F21" s="219">
        <v>61640</v>
      </c>
      <c r="G21" s="219">
        <v>0</v>
      </c>
      <c r="H21" s="219">
        <v>0</v>
      </c>
      <c r="I21" s="219">
        <v>321750</v>
      </c>
      <c r="J21" s="219">
        <v>106914</v>
      </c>
      <c r="K21" s="219">
        <f t="shared" si="0"/>
        <v>568982</v>
      </c>
    </row>
    <row r="22" spans="1:11" ht="18" customHeight="1" x14ac:dyDescent="0.25">
      <c r="A22" s="230">
        <v>18</v>
      </c>
      <c r="B22" s="254" t="s">
        <v>258</v>
      </c>
      <c r="C22" s="263">
        <v>0</v>
      </c>
      <c r="D22" s="263">
        <v>0</v>
      </c>
      <c r="E22" s="219">
        <v>78678</v>
      </c>
      <c r="F22" s="219">
        <v>0</v>
      </c>
      <c r="G22" s="219">
        <v>0</v>
      </c>
      <c r="H22" s="219">
        <v>0</v>
      </c>
      <c r="I22" s="219">
        <v>321750</v>
      </c>
      <c r="J22" s="219">
        <v>106914</v>
      </c>
      <c r="K22" s="219">
        <f t="shared" si="0"/>
        <v>507342</v>
      </c>
    </row>
    <row r="23" spans="1:11" ht="18" customHeight="1" x14ac:dyDescent="0.25">
      <c r="A23" s="230">
        <v>19</v>
      </c>
      <c r="B23" s="254" t="s">
        <v>259</v>
      </c>
      <c r="C23" s="263">
        <v>0</v>
      </c>
      <c r="D23" s="263">
        <v>0</v>
      </c>
      <c r="E23" s="219">
        <v>349680</v>
      </c>
      <c r="F23" s="219">
        <v>184920</v>
      </c>
      <c r="G23" s="219">
        <v>391120</v>
      </c>
      <c r="H23" s="219">
        <v>290260</v>
      </c>
      <c r="I23" s="219">
        <v>1430000</v>
      </c>
      <c r="J23" s="219">
        <v>213828</v>
      </c>
      <c r="K23" s="219">
        <f t="shared" si="0"/>
        <v>2859808</v>
      </c>
    </row>
    <row r="24" spans="1:11" ht="18" customHeight="1" x14ac:dyDescent="0.25">
      <c r="A24" s="230">
        <v>20</v>
      </c>
      <c r="B24" s="254" t="s">
        <v>260</v>
      </c>
      <c r="C24" s="263">
        <v>0</v>
      </c>
      <c r="D24" s="263">
        <v>0</v>
      </c>
      <c r="E24" s="219">
        <v>61194</v>
      </c>
      <c r="F24" s="219">
        <v>0</v>
      </c>
      <c r="G24" s="219">
        <v>0</v>
      </c>
      <c r="H24" s="219">
        <v>0</v>
      </c>
      <c r="I24" s="219">
        <v>214500</v>
      </c>
      <c r="J24" s="219">
        <v>71276</v>
      </c>
      <c r="K24" s="219">
        <f t="shared" si="0"/>
        <v>346970</v>
      </c>
    </row>
    <row r="25" spans="1:11" ht="18" customHeight="1" x14ac:dyDescent="0.25">
      <c r="A25" s="230">
        <v>21</v>
      </c>
      <c r="B25" s="254" t="s">
        <v>261</v>
      </c>
      <c r="C25" s="263">
        <v>0</v>
      </c>
      <c r="D25" s="263">
        <v>0</v>
      </c>
      <c r="E25" s="219">
        <v>52452</v>
      </c>
      <c r="F25" s="219">
        <v>110952</v>
      </c>
      <c r="G25" s="219">
        <v>312896</v>
      </c>
      <c r="H25" s="219">
        <v>174156</v>
      </c>
      <c r="I25" s="219">
        <v>357500</v>
      </c>
      <c r="J25" s="219">
        <v>106914</v>
      </c>
      <c r="K25" s="219">
        <f t="shared" si="0"/>
        <v>1114870</v>
      </c>
    </row>
    <row r="26" spans="1:11" s="113" customFormat="1" ht="18" customHeight="1" x14ac:dyDescent="0.25">
      <c r="A26" s="282"/>
      <c r="B26" s="631"/>
      <c r="C26" s="632"/>
      <c r="D26" s="632"/>
      <c r="E26" s="633"/>
      <c r="F26" s="633"/>
      <c r="G26" s="633"/>
      <c r="H26" s="633"/>
      <c r="I26" s="633"/>
      <c r="J26" s="633"/>
      <c r="K26" s="633"/>
    </row>
    <row r="27" spans="1:11" s="113" customFormat="1" ht="18" customHeight="1" x14ac:dyDescent="0.25">
      <c r="A27" s="610"/>
      <c r="B27" s="634"/>
      <c r="C27" s="635"/>
      <c r="D27" s="635"/>
      <c r="E27" s="636"/>
      <c r="F27" s="636"/>
      <c r="G27" s="636"/>
      <c r="H27" s="636"/>
      <c r="I27" s="636"/>
      <c r="J27" s="636"/>
      <c r="K27" s="636"/>
    </row>
    <row r="28" spans="1:11" s="113" customFormat="1" ht="18" customHeight="1" x14ac:dyDescent="0.25">
      <c r="A28" s="610"/>
      <c r="B28" s="634"/>
      <c r="C28" s="635"/>
      <c r="D28" s="635"/>
      <c r="E28" s="636"/>
      <c r="F28" s="636"/>
      <c r="G28" s="636"/>
      <c r="H28" s="636"/>
      <c r="I28" s="636"/>
      <c r="J28" s="636"/>
      <c r="K28" s="636"/>
    </row>
    <row r="29" spans="1:11" s="113" customFormat="1" ht="18" customHeight="1" x14ac:dyDescent="0.25">
      <c r="A29" s="610"/>
      <c r="B29" s="634"/>
      <c r="C29" s="635"/>
      <c r="D29" s="635"/>
      <c r="E29" s="636"/>
      <c r="F29" s="636"/>
      <c r="G29" s="636"/>
      <c r="H29" s="636"/>
      <c r="I29" s="636"/>
      <c r="J29" s="636"/>
      <c r="K29" s="636"/>
    </row>
    <row r="30" spans="1:11" ht="18" customHeight="1" x14ac:dyDescent="0.25">
      <c r="A30" s="230">
        <v>22</v>
      </c>
      <c r="B30" s="254" t="s">
        <v>262</v>
      </c>
      <c r="C30" s="263">
        <v>0</v>
      </c>
      <c r="D30" s="263">
        <v>0</v>
      </c>
      <c r="E30" s="219">
        <v>34968</v>
      </c>
      <c r="F30" s="219">
        <v>98624</v>
      </c>
      <c r="G30" s="219">
        <v>156448</v>
      </c>
      <c r="H30" s="219">
        <v>87078</v>
      </c>
      <c r="I30" s="219">
        <v>286000</v>
      </c>
      <c r="J30" s="219">
        <v>106914</v>
      </c>
      <c r="K30" s="219">
        <f t="shared" si="0"/>
        <v>770032</v>
      </c>
    </row>
    <row r="31" spans="1:11" ht="18" customHeight="1" x14ac:dyDescent="0.25">
      <c r="A31" s="230">
        <v>23</v>
      </c>
      <c r="B31" s="254" t="s">
        <v>263</v>
      </c>
      <c r="C31" s="263">
        <v>0</v>
      </c>
      <c r="D31" s="263">
        <v>0</v>
      </c>
      <c r="E31" s="219">
        <v>78678</v>
      </c>
      <c r="F31" s="219">
        <v>0</v>
      </c>
      <c r="G31" s="219">
        <v>0</v>
      </c>
      <c r="H31" s="219">
        <v>0</v>
      </c>
      <c r="I31" s="219">
        <v>250250</v>
      </c>
      <c r="J31" s="219">
        <v>53457</v>
      </c>
      <c r="K31" s="219">
        <f t="shared" si="0"/>
        <v>382385</v>
      </c>
    </row>
    <row r="32" spans="1:11" ht="18" customHeight="1" x14ac:dyDescent="0.25">
      <c r="A32" s="230">
        <v>24</v>
      </c>
      <c r="B32" s="254" t="s">
        <v>264</v>
      </c>
      <c r="C32" s="263">
        <v>0</v>
      </c>
      <c r="D32" s="263">
        <v>0</v>
      </c>
      <c r="E32" s="219">
        <v>87420</v>
      </c>
      <c r="F32" s="219">
        <v>0</v>
      </c>
      <c r="G32" s="219">
        <v>0</v>
      </c>
      <c r="H32" s="219">
        <v>0</v>
      </c>
      <c r="I32" s="219">
        <v>286000</v>
      </c>
      <c r="J32" s="219">
        <v>89095</v>
      </c>
      <c r="K32" s="219">
        <f t="shared" si="0"/>
        <v>462515</v>
      </c>
    </row>
    <row r="33" spans="1:11" ht="18" customHeight="1" x14ac:dyDescent="0.25">
      <c r="A33" s="230">
        <v>25</v>
      </c>
      <c r="B33" s="254" t="s">
        <v>265</v>
      </c>
      <c r="C33" s="263">
        <v>0</v>
      </c>
      <c r="D33" s="263">
        <v>0</v>
      </c>
      <c r="E33" s="219">
        <v>349680</v>
      </c>
      <c r="F33" s="219">
        <v>184920</v>
      </c>
      <c r="G33" s="219">
        <v>312896</v>
      </c>
      <c r="H33" s="219">
        <v>174156</v>
      </c>
      <c r="I33" s="219">
        <v>1287000</v>
      </c>
      <c r="J33" s="219">
        <v>1069140</v>
      </c>
      <c r="K33" s="219">
        <f t="shared" si="0"/>
        <v>3377792</v>
      </c>
    </row>
    <row r="34" spans="1:11" ht="18" customHeight="1" x14ac:dyDescent="0.25">
      <c r="A34" s="230">
        <v>26</v>
      </c>
      <c r="B34" s="254" t="s">
        <v>266</v>
      </c>
      <c r="C34" s="263">
        <v>0</v>
      </c>
      <c r="D34" s="263">
        <v>0</v>
      </c>
      <c r="E34" s="219">
        <v>87420</v>
      </c>
      <c r="F34" s="219">
        <v>0</v>
      </c>
      <c r="G34" s="219">
        <v>78224</v>
      </c>
      <c r="H34" s="219">
        <v>87078</v>
      </c>
      <c r="I34" s="219">
        <v>357500</v>
      </c>
      <c r="J34" s="219">
        <v>71276</v>
      </c>
      <c r="K34" s="219">
        <f t="shared" si="0"/>
        <v>681498</v>
      </c>
    </row>
    <row r="35" spans="1:11" ht="18" customHeight="1" x14ac:dyDescent="0.25">
      <c r="A35" s="230">
        <v>27</v>
      </c>
      <c r="B35" s="254" t="s">
        <v>267</v>
      </c>
      <c r="C35" s="263">
        <v>0</v>
      </c>
      <c r="D35" s="263">
        <v>0</v>
      </c>
      <c r="E35" s="219">
        <v>87420</v>
      </c>
      <c r="F35" s="219">
        <v>61640</v>
      </c>
      <c r="G35" s="219">
        <v>0</v>
      </c>
      <c r="H35" s="219">
        <v>87078</v>
      </c>
      <c r="I35" s="219">
        <v>429000</v>
      </c>
      <c r="J35" s="219">
        <v>142552</v>
      </c>
      <c r="K35" s="219">
        <f t="shared" si="0"/>
        <v>807690</v>
      </c>
    </row>
    <row r="36" spans="1:11" ht="18" customHeight="1" x14ac:dyDescent="0.25">
      <c r="A36" s="230">
        <v>28</v>
      </c>
      <c r="B36" s="254" t="s">
        <v>268</v>
      </c>
      <c r="C36" s="263">
        <v>0</v>
      </c>
      <c r="D36" s="263">
        <v>0</v>
      </c>
      <c r="E36" s="219">
        <v>104904</v>
      </c>
      <c r="F36" s="219">
        <v>98624</v>
      </c>
      <c r="G36" s="219">
        <v>234672</v>
      </c>
      <c r="H36" s="219">
        <v>116104</v>
      </c>
      <c r="I36" s="219">
        <v>500500</v>
      </c>
      <c r="J36" s="219">
        <v>142552</v>
      </c>
      <c r="K36" s="219">
        <f t="shared" si="0"/>
        <v>1197356</v>
      </c>
    </row>
    <row r="37" spans="1:11" ht="18" customHeight="1" x14ac:dyDescent="0.25">
      <c r="A37" s="230">
        <v>29</v>
      </c>
      <c r="B37" s="254" t="s">
        <v>269</v>
      </c>
      <c r="C37" s="263">
        <v>0</v>
      </c>
      <c r="D37" s="263">
        <v>0</v>
      </c>
      <c r="E37" s="219">
        <v>87420</v>
      </c>
      <c r="F37" s="219">
        <v>0</v>
      </c>
      <c r="G37" s="219">
        <v>0</v>
      </c>
      <c r="H37" s="219">
        <v>0</v>
      </c>
      <c r="I37" s="219">
        <v>357500</v>
      </c>
      <c r="J37" s="219">
        <v>53457</v>
      </c>
      <c r="K37" s="219">
        <f t="shared" si="0"/>
        <v>498377</v>
      </c>
    </row>
    <row r="38" spans="1:11" ht="18" customHeight="1" x14ac:dyDescent="0.25">
      <c r="A38" s="230">
        <v>30</v>
      </c>
      <c r="B38" s="254" t="s">
        <v>270</v>
      </c>
      <c r="C38" s="263">
        <v>0</v>
      </c>
      <c r="D38" s="263">
        <v>0</v>
      </c>
      <c r="E38" s="219">
        <v>34968</v>
      </c>
      <c r="F38" s="219">
        <v>86296</v>
      </c>
      <c r="G38" s="219">
        <v>156448</v>
      </c>
      <c r="H38" s="219">
        <v>0</v>
      </c>
      <c r="I38" s="219">
        <v>286000</v>
      </c>
      <c r="J38" s="219">
        <v>89095</v>
      </c>
      <c r="K38" s="219">
        <f t="shared" si="0"/>
        <v>652807</v>
      </c>
    </row>
    <row r="39" spans="1:11" ht="18" customHeight="1" x14ac:dyDescent="0.25">
      <c r="A39" s="230">
        <v>31</v>
      </c>
      <c r="B39" s="254" t="s">
        <v>271</v>
      </c>
      <c r="C39" s="263">
        <v>0</v>
      </c>
      <c r="D39" s="263">
        <v>0</v>
      </c>
      <c r="E39" s="219">
        <v>34968</v>
      </c>
      <c r="F39" s="219">
        <v>123280</v>
      </c>
      <c r="G39" s="219">
        <v>117336</v>
      </c>
      <c r="H39" s="219">
        <v>0</v>
      </c>
      <c r="I39" s="219">
        <v>286000</v>
      </c>
      <c r="J39" s="219">
        <v>71276</v>
      </c>
      <c r="K39" s="219">
        <f t="shared" si="0"/>
        <v>632860</v>
      </c>
    </row>
    <row r="40" spans="1:11" ht="18" customHeight="1" x14ac:dyDescent="0.25">
      <c r="A40" s="230">
        <v>32</v>
      </c>
      <c r="B40" s="254" t="s">
        <v>272</v>
      </c>
      <c r="C40" s="263">
        <v>0</v>
      </c>
      <c r="D40" s="263">
        <v>0</v>
      </c>
      <c r="E40" s="219">
        <v>17484</v>
      </c>
      <c r="F40" s="219">
        <v>73968</v>
      </c>
      <c r="G40" s="219">
        <v>78224</v>
      </c>
      <c r="H40" s="219">
        <v>0</v>
      </c>
      <c r="I40" s="219">
        <v>214500</v>
      </c>
      <c r="J40" s="219">
        <v>53457</v>
      </c>
      <c r="K40" s="219">
        <f t="shared" si="0"/>
        <v>437633</v>
      </c>
    </row>
    <row r="41" spans="1:11" ht="18" customHeight="1" x14ac:dyDescent="0.25">
      <c r="A41" s="230">
        <v>33</v>
      </c>
      <c r="B41" s="254" t="s">
        <v>273</v>
      </c>
      <c r="C41" s="263">
        <v>0</v>
      </c>
      <c r="D41" s="263">
        <v>0</v>
      </c>
      <c r="E41" s="219">
        <v>34968</v>
      </c>
      <c r="F41" s="219">
        <v>86296</v>
      </c>
      <c r="G41" s="219">
        <v>156448</v>
      </c>
      <c r="H41" s="219">
        <v>0</v>
      </c>
      <c r="I41" s="219">
        <v>357500</v>
      </c>
      <c r="J41" s="219">
        <v>106914</v>
      </c>
      <c r="K41" s="219">
        <f t="shared" si="0"/>
        <v>742126</v>
      </c>
    </row>
    <row r="42" spans="1:11" ht="18" customHeight="1" x14ac:dyDescent="0.25">
      <c r="A42" s="230">
        <v>34</v>
      </c>
      <c r="B42" s="254" t="s">
        <v>274</v>
      </c>
      <c r="C42" s="263">
        <v>0</v>
      </c>
      <c r="D42" s="263">
        <v>0</v>
      </c>
      <c r="E42" s="219">
        <v>34968</v>
      </c>
      <c r="F42" s="219">
        <v>86296</v>
      </c>
      <c r="G42" s="219">
        <v>117336</v>
      </c>
      <c r="H42" s="219">
        <v>116104</v>
      </c>
      <c r="I42" s="219">
        <v>357500</v>
      </c>
      <c r="J42" s="219">
        <v>89095</v>
      </c>
      <c r="K42" s="219">
        <f t="shared" si="0"/>
        <v>801299</v>
      </c>
    </row>
    <row r="43" spans="1:11" ht="18" customHeight="1" x14ac:dyDescent="0.25">
      <c r="A43" s="230">
        <v>35</v>
      </c>
      <c r="B43" s="254" t="s">
        <v>275</v>
      </c>
      <c r="C43" s="263">
        <v>0</v>
      </c>
      <c r="D43" s="263">
        <v>0</v>
      </c>
      <c r="E43" s="219">
        <v>26226</v>
      </c>
      <c r="F43" s="219">
        <v>123280</v>
      </c>
      <c r="G43" s="219">
        <v>156448</v>
      </c>
      <c r="H43" s="219">
        <v>0</v>
      </c>
      <c r="I43" s="219">
        <v>357500</v>
      </c>
      <c r="J43" s="219">
        <v>89095</v>
      </c>
      <c r="K43" s="219">
        <f t="shared" si="0"/>
        <v>752549</v>
      </c>
    </row>
    <row r="44" spans="1:11" ht="18" customHeight="1" x14ac:dyDescent="0.25">
      <c r="A44" s="230">
        <v>36</v>
      </c>
      <c r="B44" s="254" t="s">
        <v>296</v>
      </c>
      <c r="C44" s="219">
        <v>78678</v>
      </c>
      <c r="D44" s="219">
        <v>268072</v>
      </c>
      <c r="E44" s="219">
        <v>349680</v>
      </c>
      <c r="F44" s="219">
        <v>493120</v>
      </c>
      <c r="G44" s="219">
        <v>391120</v>
      </c>
      <c r="H44" s="219">
        <v>174156</v>
      </c>
      <c r="I44" s="219">
        <v>1287000</v>
      </c>
      <c r="J44" s="219">
        <v>213828</v>
      </c>
      <c r="K44" s="219">
        <f t="shared" si="0"/>
        <v>3255654</v>
      </c>
    </row>
    <row r="45" spans="1:11" ht="18" customHeight="1" x14ac:dyDescent="0.25">
      <c r="A45" s="230">
        <v>37</v>
      </c>
      <c r="B45" s="254" t="s">
        <v>277</v>
      </c>
      <c r="C45" s="263">
        <v>0</v>
      </c>
      <c r="D45" s="263">
        <v>0</v>
      </c>
      <c r="E45" s="219">
        <v>349680</v>
      </c>
      <c r="F45" s="219">
        <v>493120</v>
      </c>
      <c r="G45" s="219">
        <v>391120</v>
      </c>
      <c r="H45" s="219">
        <v>174156</v>
      </c>
      <c r="I45" s="219">
        <v>1430000</v>
      </c>
      <c r="J45" s="219">
        <v>213828</v>
      </c>
      <c r="K45" s="219">
        <f t="shared" si="0"/>
        <v>3051904</v>
      </c>
    </row>
    <row r="46" spans="1:11" ht="18" customHeight="1" x14ac:dyDescent="0.25">
      <c r="A46" s="230">
        <v>38</v>
      </c>
      <c r="B46" s="254" t="s">
        <v>278</v>
      </c>
      <c r="C46" s="219">
        <v>43710</v>
      </c>
      <c r="D46" s="219">
        <v>134036</v>
      </c>
      <c r="E46" s="219">
        <v>305970</v>
      </c>
      <c r="F46" s="219">
        <v>493120</v>
      </c>
      <c r="G46" s="219">
        <v>586680</v>
      </c>
      <c r="H46" s="219">
        <v>290260</v>
      </c>
      <c r="I46" s="219">
        <v>1430000</v>
      </c>
      <c r="J46" s="219">
        <v>213828</v>
      </c>
      <c r="K46" s="219">
        <f t="shared" si="0"/>
        <v>3497604</v>
      </c>
    </row>
    <row r="47" spans="1:11" ht="18" customHeight="1" x14ac:dyDescent="0.25">
      <c r="A47" s="230">
        <v>39</v>
      </c>
      <c r="B47" s="258" t="s">
        <v>279</v>
      </c>
      <c r="C47" s="263">
        <v>0</v>
      </c>
      <c r="D47" s="263">
        <v>0</v>
      </c>
      <c r="E47" s="219">
        <v>26226</v>
      </c>
      <c r="F47" s="219">
        <v>49312</v>
      </c>
      <c r="G47" s="219">
        <v>117336</v>
      </c>
      <c r="H47" s="219">
        <v>0</v>
      </c>
      <c r="I47" s="219">
        <v>214500</v>
      </c>
      <c r="J47" s="219">
        <v>53457</v>
      </c>
      <c r="K47" s="219">
        <f t="shared" si="0"/>
        <v>460831</v>
      </c>
    </row>
    <row r="48" spans="1:11" ht="18" customHeight="1" x14ac:dyDescent="0.25">
      <c r="A48" s="230">
        <v>40</v>
      </c>
      <c r="B48" s="254" t="s">
        <v>280</v>
      </c>
      <c r="C48" s="219">
        <v>43710</v>
      </c>
      <c r="D48" s="219">
        <v>201054</v>
      </c>
      <c r="E48" s="219">
        <v>131130</v>
      </c>
      <c r="F48" s="219">
        <v>369840</v>
      </c>
      <c r="G48" s="219">
        <v>391120</v>
      </c>
      <c r="H48" s="219">
        <v>0</v>
      </c>
      <c r="I48" s="219">
        <v>1072500</v>
      </c>
      <c r="J48" s="219">
        <v>142552</v>
      </c>
      <c r="K48" s="219">
        <f t="shared" si="0"/>
        <v>2351906</v>
      </c>
    </row>
    <row r="49" spans="1:11" ht="18" customHeight="1" x14ac:dyDescent="0.25">
      <c r="A49" s="967" t="s">
        <v>297</v>
      </c>
      <c r="B49" s="967"/>
      <c r="C49" s="224">
        <f>SUM(C5:C48)</f>
        <v>166098</v>
      </c>
      <c r="D49" s="224">
        <f>SUM(D5:D48)</f>
        <v>603162</v>
      </c>
      <c r="E49" s="224">
        <f t="shared" ref="E49:J49" si="1">SUM(E5:E48)</f>
        <v>4655115</v>
      </c>
      <c r="F49" s="224">
        <f t="shared" si="1"/>
        <v>4074404</v>
      </c>
      <c r="G49" s="224">
        <f t="shared" si="1"/>
        <v>5866800</v>
      </c>
      <c r="H49" s="224">
        <f t="shared" si="1"/>
        <v>3686302</v>
      </c>
      <c r="I49" s="224">
        <f t="shared" si="1"/>
        <v>21557250</v>
      </c>
      <c r="J49" s="224">
        <f t="shared" si="1"/>
        <v>7002867</v>
      </c>
      <c r="K49" s="224">
        <f>SUM(C49:J49)</f>
        <v>47611998</v>
      </c>
    </row>
    <row r="50" spans="1:11" ht="18" customHeight="1" x14ac:dyDescent="0.25">
      <c r="A50" s="264"/>
      <c r="B50" s="265"/>
      <c r="C50" s="265"/>
      <c r="D50" s="265"/>
      <c r="E50" s="265"/>
      <c r="F50" s="265"/>
      <c r="G50" s="265"/>
      <c r="H50" s="266"/>
      <c r="I50" s="944" t="s">
        <v>159</v>
      </c>
      <c r="J50" s="944"/>
      <c r="K50" s="224">
        <f>K49*0.16</f>
        <v>7617919.6799999997</v>
      </c>
    </row>
    <row r="51" spans="1:11" ht="18" customHeight="1" x14ac:dyDescent="0.25">
      <c r="A51" s="247"/>
      <c r="B51" s="257"/>
      <c r="C51" s="257"/>
      <c r="D51" s="257"/>
      <c r="E51" s="257"/>
      <c r="F51" s="257"/>
      <c r="G51" s="257"/>
      <c r="H51" s="267"/>
      <c r="I51" s="944" t="s">
        <v>298</v>
      </c>
      <c r="J51" s="944"/>
      <c r="K51" s="268">
        <f>SUM(K49:K50)</f>
        <v>55229917.68</v>
      </c>
    </row>
  </sheetData>
  <mergeCells count="5">
    <mergeCell ref="A2:K2"/>
    <mergeCell ref="A49:B49"/>
    <mergeCell ref="I50:J50"/>
    <mergeCell ref="I51:J51"/>
    <mergeCell ref="A3:K3"/>
  </mergeCells>
  <printOptions horizontalCentered="1" verticalCentered="1"/>
  <pageMargins left="1.02" right="0.61" top="0.53" bottom="0.75" header="0.3" footer="0.38"/>
  <pageSetup paperSize="5" scale="85" orientation="landscape" r:id="rId1"/>
  <headerFooter>
    <oddFooter xml:space="preserve">&amp;C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rgb="FF00B0F0"/>
  </sheetPr>
  <dimension ref="A1:M57"/>
  <sheetViews>
    <sheetView view="pageLayout" zoomScaleNormal="100" workbookViewId="0">
      <selection activeCell="E5" sqref="E5"/>
    </sheetView>
  </sheetViews>
  <sheetFormatPr baseColWidth="10" defaultRowHeight="15" x14ac:dyDescent="0.25"/>
  <cols>
    <col min="1" max="1" width="11.42578125" style="113"/>
    <col min="2" max="2" width="4.28515625" style="262" customWidth="1"/>
    <col min="3" max="3" width="20" customWidth="1"/>
    <col min="4" max="4" width="11.85546875" customWidth="1"/>
    <col min="5" max="6" width="10.140625" bestFit="1" customWidth="1"/>
    <col min="7" max="7" width="10.42578125" bestFit="1" customWidth="1"/>
    <col min="8" max="8" width="9.140625" bestFit="1" customWidth="1"/>
    <col min="9" max="9" width="9.85546875" customWidth="1"/>
    <col min="10" max="10" width="9.42578125" bestFit="1" customWidth="1"/>
    <col min="11" max="11" width="10.140625" bestFit="1" customWidth="1"/>
    <col min="12" max="12" width="9.140625" bestFit="1" customWidth="1"/>
    <col min="13" max="13" width="12.28515625" customWidth="1"/>
  </cols>
  <sheetData>
    <row r="1" spans="2:13" s="113" customFormat="1" x14ac:dyDescent="0.25">
      <c r="B1" s="262"/>
    </row>
    <row r="2" spans="2:13" s="113" customFormat="1" x14ac:dyDescent="0.25">
      <c r="B2" s="1019"/>
      <c r="C2" s="1019"/>
      <c r="D2" s="1019"/>
      <c r="E2" s="1019"/>
      <c r="F2" s="1019"/>
      <c r="G2" s="1019"/>
      <c r="H2" s="1019"/>
      <c r="I2" s="1019"/>
      <c r="J2" s="1019"/>
      <c r="K2" s="1019"/>
      <c r="L2" s="1019"/>
      <c r="M2" s="1019"/>
    </row>
    <row r="3" spans="2:13" s="113" customFormat="1" x14ac:dyDescent="0.25">
      <c r="B3" s="588"/>
      <c r="C3" s="588"/>
      <c r="D3" s="588"/>
      <c r="E3" s="588"/>
      <c r="F3" s="588"/>
      <c r="G3" s="588"/>
      <c r="H3" s="588"/>
      <c r="I3" s="588"/>
      <c r="J3" s="588"/>
      <c r="K3" s="588"/>
      <c r="L3" s="588"/>
      <c r="M3" s="588"/>
    </row>
    <row r="4" spans="2:13" x14ac:dyDescent="0.25">
      <c r="B4" s="934" t="s">
        <v>1890</v>
      </c>
      <c r="C4" s="948"/>
      <c r="D4" s="948"/>
      <c r="E4" s="948"/>
      <c r="F4" s="948"/>
      <c r="G4" s="948"/>
      <c r="H4" s="948"/>
      <c r="I4" s="948"/>
      <c r="J4" s="948"/>
      <c r="K4" s="948"/>
      <c r="L4" s="948"/>
      <c r="M4" s="935"/>
    </row>
    <row r="5" spans="2:13" s="216" customFormat="1" ht="99" customHeight="1" x14ac:dyDescent="0.25">
      <c r="B5" s="227" t="s">
        <v>346</v>
      </c>
      <c r="C5" s="228" t="s">
        <v>287</v>
      </c>
      <c r="D5" s="261" t="s">
        <v>290</v>
      </c>
      <c r="E5" s="260" t="s">
        <v>1908</v>
      </c>
      <c r="F5" s="260" t="s">
        <v>622</v>
      </c>
      <c r="G5" s="260" t="s">
        <v>1465</v>
      </c>
      <c r="H5" s="261" t="s">
        <v>584</v>
      </c>
      <c r="I5" s="260" t="s">
        <v>1461</v>
      </c>
      <c r="J5" s="260" t="s">
        <v>1462</v>
      </c>
      <c r="K5" s="260" t="s">
        <v>1463</v>
      </c>
      <c r="L5" s="260" t="s">
        <v>1464</v>
      </c>
      <c r="M5" s="227" t="s">
        <v>1460</v>
      </c>
    </row>
    <row r="6" spans="2:13" s="145" customFormat="1" ht="18" customHeight="1" x14ac:dyDescent="0.25">
      <c r="B6" s="230">
        <v>1</v>
      </c>
      <c r="C6" s="254" t="s">
        <v>241</v>
      </c>
      <c r="D6" s="219">
        <v>572000</v>
      </c>
      <c r="E6" s="219">
        <v>0</v>
      </c>
      <c r="F6" s="219">
        <v>0</v>
      </c>
      <c r="G6" s="219">
        <v>291379</v>
      </c>
      <c r="H6" s="219">
        <v>189400</v>
      </c>
      <c r="I6" s="219">
        <v>64330</v>
      </c>
      <c r="J6" s="219">
        <v>139636</v>
      </c>
      <c r="K6" s="219">
        <v>67800</v>
      </c>
      <c r="L6" s="219">
        <v>134500</v>
      </c>
      <c r="M6" s="219">
        <f t="shared" ref="M6:M24" si="0">SUM(D6:L6)</f>
        <v>1459045</v>
      </c>
    </row>
    <row r="7" spans="2:13" s="145" customFormat="1" ht="18" customHeight="1" x14ac:dyDescent="0.25">
      <c r="B7" s="230">
        <v>2</v>
      </c>
      <c r="C7" s="254" t="s">
        <v>242</v>
      </c>
      <c r="D7" s="219">
        <v>1144000</v>
      </c>
      <c r="E7" s="219">
        <v>390000</v>
      </c>
      <c r="F7" s="219">
        <v>1903940</v>
      </c>
      <c r="G7" s="219">
        <v>291379</v>
      </c>
      <c r="H7" s="219">
        <v>568200</v>
      </c>
      <c r="I7" s="219">
        <v>91900</v>
      </c>
      <c r="J7" s="219">
        <v>199480</v>
      </c>
      <c r="K7" s="219">
        <v>108480</v>
      </c>
      <c r="L7" s="219">
        <v>215200</v>
      </c>
      <c r="M7" s="219">
        <f t="shared" si="0"/>
        <v>4912579</v>
      </c>
    </row>
    <row r="8" spans="2:13" s="145" customFormat="1" ht="18" customHeight="1" x14ac:dyDescent="0.25">
      <c r="B8" s="230">
        <v>3</v>
      </c>
      <c r="C8" s="254" t="s">
        <v>243</v>
      </c>
      <c r="D8" s="219">
        <v>1144000</v>
      </c>
      <c r="E8" s="219">
        <v>0</v>
      </c>
      <c r="F8" s="219">
        <v>0</v>
      </c>
      <c r="G8" s="219">
        <v>291379</v>
      </c>
      <c r="H8" s="219">
        <v>189400</v>
      </c>
      <c r="I8" s="219">
        <v>45950</v>
      </c>
      <c r="J8" s="219">
        <v>149610</v>
      </c>
      <c r="K8" s="219">
        <v>67800</v>
      </c>
      <c r="L8" s="219">
        <v>134500</v>
      </c>
      <c r="M8" s="219">
        <f t="shared" si="0"/>
        <v>2022639</v>
      </c>
    </row>
    <row r="9" spans="2:13" s="145" customFormat="1" ht="18" customHeight="1" x14ac:dyDescent="0.25">
      <c r="B9" s="230">
        <v>4</v>
      </c>
      <c r="C9" s="254" t="s">
        <v>244</v>
      </c>
      <c r="D9" s="219">
        <v>1144000</v>
      </c>
      <c r="E9" s="219">
        <v>390000</v>
      </c>
      <c r="F9" s="219">
        <v>1479198</v>
      </c>
      <c r="G9" s="219">
        <v>291379</v>
      </c>
      <c r="H9" s="219">
        <v>189400</v>
      </c>
      <c r="I9" s="219">
        <v>45950</v>
      </c>
      <c r="J9" s="219">
        <v>99740</v>
      </c>
      <c r="K9" s="219">
        <v>67800</v>
      </c>
      <c r="L9" s="219">
        <v>134500</v>
      </c>
      <c r="M9" s="219">
        <f t="shared" si="0"/>
        <v>3841967</v>
      </c>
    </row>
    <row r="10" spans="2:13" s="145" customFormat="1" ht="18" customHeight="1" x14ac:dyDescent="0.25">
      <c r="B10" s="230">
        <v>5</v>
      </c>
      <c r="C10" s="254" t="s">
        <v>245</v>
      </c>
      <c r="D10" s="219">
        <v>858000</v>
      </c>
      <c r="E10" s="219">
        <v>0</v>
      </c>
      <c r="F10" s="219">
        <v>0</v>
      </c>
      <c r="G10" s="219">
        <v>291379</v>
      </c>
      <c r="H10" s="219">
        <v>189400</v>
      </c>
      <c r="I10" s="219">
        <v>36760</v>
      </c>
      <c r="J10" s="219">
        <v>49870</v>
      </c>
      <c r="K10" s="219">
        <v>40680</v>
      </c>
      <c r="L10" s="219">
        <v>80700</v>
      </c>
      <c r="M10" s="219">
        <f t="shared" si="0"/>
        <v>1546789</v>
      </c>
    </row>
    <row r="11" spans="2:13" s="145" customFormat="1" ht="18" customHeight="1" x14ac:dyDescent="0.25">
      <c r="B11" s="230">
        <v>6</v>
      </c>
      <c r="C11" s="254" t="s">
        <v>246</v>
      </c>
      <c r="D11" s="219">
        <v>1430000</v>
      </c>
      <c r="E11" s="219">
        <v>390000</v>
      </c>
      <c r="F11" s="219">
        <v>1479198</v>
      </c>
      <c r="G11" s="219">
        <v>291379</v>
      </c>
      <c r="H11" s="219">
        <v>284100</v>
      </c>
      <c r="I11" s="219">
        <v>36760</v>
      </c>
      <c r="J11" s="219">
        <v>99740</v>
      </c>
      <c r="K11" s="219">
        <v>40680</v>
      </c>
      <c r="L11" s="219">
        <v>80700</v>
      </c>
      <c r="M11" s="219">
        <f t="shared" si="0"/>
        <v>4132557</v>
      </c>
    </row>
    <row r="12" spans="2:13" s="145" customFormat="1" ht="18" customHeight="1" x14ac:dyDescent="0.25">
      <c r="B12" s="230">
        <v>7</v>
      </c>
      <c r="C12" s="254" t="s">
        <v>526</v>
      </c>
      <c r="D12" s="219">
        <v>858000</v>
      </c>
      <c r="E12" s="219">
        <v>0</v>
      </c>
      <c r="F12" s="219">
        <v>0</v>
      </c>
      <c r="G12" s="219">
        <v>291379</v>
      </c>
      <c r="H12" s="219">
        <v>189400</v>
      </c>
      <c r="I12" s="219">
        <v>36760</v>
      </c>
      <c r="J12" s="219">
        <v>79792</v>
      </c>
      <c r="K12" s="219">
        <v>40680</v>
      </c>
      <c r="L12" s="219">
        <v>80700</v>
      </c>
      <c r="M12" s="219">
        <f t="shared" si="0"/>
        <v>1576711</v>
      </c>
    </row>
    <row r="13" spans="2:13" s="145" customFormat="1" ht="18" customHeight="1" x14ac:dyDescent="0.25">
      <c r="B13" s="230">
        <v>8</v>
      </c>
      <c r="C13" s="254" t="s">
        <v>248</v>
      </c>
      <c r="D13" s="219">
        <v>858000</v>
      </c>
      <c r="E13" s="219">
        <v>390000</v>
      </c>
      <c r="F13" s="219">
        <v>1479198</v>
      </c>
      <c r="G13" s="219">
        <v>291379</v>
      </c>
      <c r="H13" s="219">
        <v>151520</v>
      </c>
      <c r="I13" s="219">
        <v>36760</v>
      </c>
      <c r="J13" s="219">
        <v>79792</v>
      </c>
      <c r="K13" s="219">
        <v>67800</v>
      </c>
      <c r="L13" s="219">
        <v>134500</v>
      </c>
      <c r="M13" s="219">
        <f t="shared" si="0"/>
        <v>3488949</v>
      </c>
    </row>
    <row r="14" spans="2:13" s="145" customFormat="1" ht="18" customHeight="1" x14ac:dyDescent="0.25">
      <c r="B14" s="230">
        <v>9</v>
      </c>
      <c r="C14" s="256" t="s">
        <v>249</v>
      </c>
      <c r="D14" s="219">
        <v>858000</v>
      </c>
      <c r="E14" s="219">
        <v>0</v>
      </c>
      <c r="F14" s="219">
        <v>0</v>
      </c>
      <c r="G14" s="219">
        <v>0</v>
      </c>
      <c r="H14" s="219">
        <v>151520</v>
      </c>
      <c r="I14" s="219">
        <v>22975</v>
      </c>
      <c r="J14" s="219">
        <v>49870</v>
      </c>
      <c r="K14" s="219">
        <v>40680</v>
      </c>
      <c r="L14" s="219">
        <v>80700</v>
      </c>
      <c r="M14" s="219">
        <f t="shared" si="0"/>
        <v>1203745</v>
      </c>
    </row>
    <row r="15" spans="2:13" s="145" customFormat="1" ht="18" customHeight="1" x14ac:dyDescent="0.25">
      <c r="B15" s="230">
        <v>10</v>
      </c>
      <c r="C15" s="254" t="s">
        <v>250</v>
      </c>
      <c r="D15" s="219">
        <v>858000</v>
      </c>
      <c r="E15" s="219">
        <v>390000</v>
      </c>
      <c r="F15" s="219">
        <v>1479198</v>
      </c>
      <c r="G15" s="219">
        <v>291379</v>
      </c>
      <c r="H15" s="219">
        <v>151520</v>
      </c>
      <c r="I15" s="219">
        <v>22975</v>
      </c>
      <c r="J15" s="219">
        <v>49870</v>
      </c>
      <c r="K15" s="219">
        <v>40680</v>
      </c>
      <c r="L15" s="219">
        <v>80700</v>
      </c>
      <c r="M15" s="219">
        <f t="shared" si="0"/>
        <v>3364322</v>
      </c>
    </row>
    <row r="16" spans="2:13" s="145" customFormat="1" ht="18" customHeight="1" x14ac:dyDescent="0.25">
      <c r="B16" s="230">
        <v>11</v>
      </c>
      <c r="C16" s="254" t="s">
        <v>251</v>
      </c>
      <c r="D16" s="219">
        <v>858000</v>
      </c>
      <c r="E16" s="219">
        <v>390000</v>
      </c>
      <c r="F16" s="219">
        <v>1479198</v>
      </c>
      <c r="G16" s="219">
        <v>291379</v>
      </c>
      <c r="H16" s="219">
        <v>189400</v>
      </c>
      <c r="I16" s="219">
        <v>22975</v>
      </c>
      <c r="J16" s="219">
        <v>49870</v>
      </c>
      <c r="K16" s="219">
        <v>67800</v>
      </c>
      <c r="L16" s="219">
        <v>134500</v>
      </c>
      <c r="M16" s="219">
        <f t="shared" si="0"/>
        <v>3483122</v>
      </c>
    </row>
    <row r="17" spans="2:13" s="145" customFormat="1" ht="18" customHeight="1" x14ac:dyDescent="0.25">
      <c r="B17" s="230">
        <v>12</v>
      </c>
      <c r="C17" s="254" t="s">
        <v>252</v>
      </c>
      <c r="D17" s="219">
        <v>858000</v>
      </c>
      <c r="E17" s="219">
        <v>0</v>
      </c>
      <c r="F17" s="219">
        <v>0</v>
      </c>
      <c r="G17" s="219">
        <v>291379</v>
      </c>
      <c r="H17" s="219">
        <v>151520</v>
      </c>
      <c r="I17" s="219">
        <v>22975</v>
      </c>
      <c r="J17" s="219">
        <v>49870</v>
      </c>
      <c r="K17" s="219">
        <v>67800</v>
      </c>
      <c r="L17" s="219">
        <v>134500</v>
      </c>
      <c r="M17" s="219">
        <f t="shared" si="0"/>
        <v>1576044</v>
      </c>
    </row>
    <row r="18" spans="2:13" s="145" customFormat="1" ht="18" customHeight="1" x14ac:dyDescent="0.25">
      <c r="B18" s="230">
        <v>13</v>
      </c>
      <c r="C18" s="254" t="s">
        <v>253</v>
      </c>
      <c r="D18" s="219">
        <v>715000</v>
      </c>
      <c r="E18" s="219">
        <v>390000</v>
      </c>
      <c r="F18" s="219">
        <v>1479198</v>
      </c>
      <c r="G18" s="219">
        <v>291379</v>
      </c>
      <c r="H18" s="219">
        <v>151520</v>
      </c>
      <c r="I18" s="219">
        <v>22975</v>
      </c>
      <c r="J18" s="219">
        <v>49870</v>
      </c>
      <c r="K18" s="219">
        <v>67800</v>
      </c>
      <c r="L18" s="219">
        <v>134500</v>
      </c>
      <c r="M18" s="219">
        <f t="shared" si="0"/>
        <v>3302242</v>
      </c>
    </row>
    <row r="19" spans="2:13" s="145" customFormat="1" ht="18" customHeight="1" x14ac:dyDescent="0.25">
      <c r="B19" s="230">
        <v>14</v>
      </c>
      <c r="C19" s="256" t="s">
        <v>254</v>
      </c>
      <c r="D19" s="219">
        <v>715000</v>
      </c>
      <c r="E19" s="219">
        <v>0</v>
      </c>
      <c r="F19" s="219">
        <v>0</v>
      </c>
      <c r="G19" s="219">
        <v>291379</v>
      </c>
      <c r="H19" s="219">
        <v>151520</v>
      </c>
      <c r="I19" s="219">
        <v>22975</v>
      </c>
      <c r="J19" s="219">
        <v>49870</v>
      </c>
      <c r="K19" s="219">
        <v>67800</v>
      </c>
      <c r="L19" s="219">
        <v>134500</v>
      </c>
      <c r="M19" s="219">
        <f t="shared" si="0"/>
        <v>1433044</v>
      </c>
    </row>
    <row r="20" spans="2:13" s="145" customFormat="1" ht="18" customHeight="1" x14ac:dyDescent="0.25">
      <c r="B20" s="230">
        <v>15</v>
      </c>
      <c r="C20" s="254" t="s">
        <v>255</v>
      </c>
      <c r="D20" s="219">
        <v>572000</v>
      </c>
      <c r="E20" s="219">
        <v>390000</v>
      </c>
      <c r="F20" s="219">
        <v>1479198</v>
      </c>
      <c r="G20" s="219">
        <v>291379</v>
      </c>
      <c r="H20" s="219">
        <v>151520</v>
      </c>
      <c r="I20" s="219">
        <v>22975</v>
      </c>
      <c r="J20" s="219">
        <v>49870</v>
      </c>
      <c r="K20" s="219">
        <v>67800</v>
      </c>
      <c r="L20" s="219">
        <v>134500</v>
      </c>
      <c r="M20" s="219">
        <f t="shared" si="0"/>
        <v>3159242</v>
      </c>
    </row>
    <row r="21" spans="2:13" s="145" customFormat="1" ht="18" customHeight="1" x14ac:dyDescent="0.25">
      <c r="B21" s="230">
        <v>16</v>
      </c>
      <c r="C21" s="254" t="s">
        <v>256</v>
      </c>
      <c r="D21" s="219">
        <v>715000</v>
      </c>
      <c r="E21" s="219">
        <v>0</v>
      </c>
      <c r="F21" s="219">
        <v>0</v>
      </c>
      <c r="G21" s="219">
        <v>291379</v>
      </c>
      <c r="H21" s="219">
        <v>94700</v>
      </c>
      <c r="I21" s="219">
        <v>13785</v>
      </c>
      <c r="J21" s="219">
        <v>29922</v>
      </c>
      <c r="K21" s="219">
        <v>40680</v>
      </c>
      <c r="L21" s="219">
        <v>80700</v>
      </c>
      <c r="M21" s="219">
        <f t="shared" si="0"/>
        <v>1266166</v>
      </c>
    </row>
    <row r="22" spans="2:13" s="145" customFormat="1" ht="18" customHeight="1" x14ac:dyDescent="0.25">
      <c r="B22" s="230">
        <v>17</v>
      </c>
      <c r="C22" s="254" t="s">
        <v>257</v>
      </c>
      <c r="D22" s="219">
        <v>572000</v>
      </c>
      <c r="E22" s="219">
        <v>390000</v>
      </c>
      <c r="F22" s="219">
        <v>1479198</v>
      </c>
      <c r="G22" s="219">
        <v>291379</v>
      </c>
      <c r="H22" s="219">
        <v>94700</v>
      </c>
      <c r="I22" s="219">
        <v>13785</v>
      </c>
      <c r="J22" s="219">
        <v>29922</v>
      </c>
      <c r="K22" s="219">
        <v>40680</v>
      </c>
      <c r="L22" s="219">
        <v>80700</v>
      </c>
      <c r="M22" s="219">
        <f t="shared" si="0"/>
        <v>2992364</v>
      </c>
    </row>
    <row r="23" spans="2:13" s="145" customFormat="1" ht="18" customHeight="1" x14ac:dyDescent="0.25">
      <c r="B23" s="230">
        <v>18</v>
      </c>
      <c r="C23" s="254" t="s">
        <v>258</v>
      </c>
      <c r="D23" s="219">
        <v>858000</v>
      </c>
      <c r="E23" s="219">
        <v>390000</v>
      </c>
      <c r="F23" s="219">
        <v>1479198</v>
      </c>
      <c r="G23" s="219">
        <v>291379</v>
      </c>
      <c r="H23" s="219">
        <v>151520</v>
      </c>
      <c r="I23" s="219">
        <v>22975</v>
      </c>
      <c r="J23" s="219">
        <v>49870</v>
      </c>
      <c r="K23" s="219">
        <v>67800</v>
      </c>
      <c r="L23" s="219">
        <v>134500</v>
      </c>
      <c r="M23" s="219">
        <f t="shared" si="0"/>
        <v>3445242</v>
      </c>
    </row>
    <row r="24" spans="2:13" s="145" customFormat="1" ht="18" customHeight="1" x14ac:dyDescent="0.25">
      <c r="B24" s="638">
        <v>19</v>
      </c>
      <c r="C24" s="639" t="s">
        <v>259</v>
      </c>
      <c r="D24" s="640">
        <v>1716000</v>
      </c>
      <c r="E24" s="640">
        <v>780000</v>
      </c>
      <c r="F24" s="640">
        <v>3807880</v>
      </c>
      <c r="G24" s="640">
        <v>291379</v>
      </c>
      <c r="H24" s="640">
        <v>303040</v>
      </c>
      <c r="I24" s="640">
        <v>45950</v>
      </c>
      <c r="J24" s="640">
        <v>99740</v>
      </c>
      <c r="K24" s="640">
        <v>135600</v>
      </c>
      <c r="L24" s="640">
        <v>269000</v>
      </c>
      <c r="M24" s="640">
        <f t="shared" si="0"/>
        <v>7448589</v>
      </c>
    </row>
    <row r="25" spans="2:13" s="165" customFormat="1" ht="18" customHeight="1" x14ac:dyDescent="0.25">
      <c r="B25" s="282"/>
      <c r="C25" s="631"/>
      <c r="D25" s="633"/>
      <c r="E25" s="633"/>
      <c r="F25" s="633"/>
      <c r="G25" s="633"/>
      <c r="H25" s="633"/>
      <c r="I25" s="633"/>
      <c r="J25" s="633"/>
      <c r="K25" s="633"/>
      <c r="L25" s="633"/>
      <c r="M25" s="633"/>
    </row>
    <row r="26" spans="2:13" s="165" customFormat="1" ht="18" customHeight="1" x14ac:dyDescent="0.25">
      <c r="B26" s="610"/>
      <c r="C26" s="634"/>
      <c r="D26" s="636"/>
      <c r="E26" s="636"/>
      <c r="F26" s="636"/>
      <c r="G26" s="636"/>
      <c r="H26" s="636"/>
      <c r="I26" s="636"/>
      <c r="J26" s="636"/>
      <c r="K26" s="636"/>
      <c r="L26" s="636"/>
      <c r="M26" s="636"/>
    </row>
    <row r="27" spans="2:13" s="165" customFormat="1" ht="18" customHeight="1" x14ac:dyDescent="0.25">
      <c r="B27" s="610"/>
      <c r="C27" s="634"/>
      <c r="D27" s="636"/>
      <c r="E27" s="636"/>
      <c r="F27" s="636"/>
      <c r="G27" s="636"/>
      <c r="H27" s="636"/>
      <c r="I27" s="636"/>
      <c r="J27" s="636"/>
      <c r="K27" s="636"/>
      <c r="L27" s="636"/>
      <c r="M27" s="636"/>
    </row>
    <row r="28" spans="2:13" s="165" customFormat="1" ht="18" customHeight="1" x14ac:dyDescent="0.25">
      <c r="B28" s="610"/>
      <c r="C28" s="634"/>
      <c r="D28" s="636"/>
      <c r="E28" s="636"/>
      <c r="F28" s="636"/>
      <c r="G28" s="636"/>
      <c r="H28" s="636"/>
      <c r="I28" s="636"/>
      <c r="J28" s="636"/>
      <c r="K28" s="636"/>
      <c r="L28" s="636"/>
      <c r="M28" s="636"/>
    </row>
    <row r="29" spans="2:13" s="165" customFormat="1" ht="18" customHeight="1" x14ac:dyDescent="0.25">
      <c r="B29" s="610"/>
      <c r="C29" s="634"/>
      <c r="D29" s="636"/>
      <c r="E29" s="636"/>
      <c r="F29" s="636"/>
      <c r="G29" s="636"/>
      <c r="H29" s="636"/>
      <c r="I29" s="636"/>
      <c r="J29" s="636"/>
      <c r="K29" s="636"/>
      <c r="L29" s="636"/>
      <c r="M29" s="636"/>
    </row>
    <row r="30" spans="2:13" s="165" customFormat="1" ht="18" customHeight="1" x14ac:dyDescent="0.25">
      <c r="B30" s="610"/>
      <c r="C30" s="634"/>
      <c r="D30" s="636"/>
      <c r="E30" s="636"/>
      <c r="F30" s="636"/>
      <c r="G30" s="636"/>
      <c r="H30" s="636"/>
      <c r="I30" s="636"/>
      <c r="J30" s="636"/>
      <c r="K30" s="636"/>
      <c r="L30" s="636"/>
      <c r="M30" s="636"/>
    </row>
    <row r="31" spans="2:13" s="165" customFormat="1" ht="18" customHeight="1" x14ac:dyDescent="0.25">
      <c r="B31" s="641"/>
      <c r="C31" s="642"/>
      <c r="D31" s="643"/>
      <c r="E31" s="643"/>
      <c r="F31" s="643"/>
      <c r="G31" s="643"/>
      <c r="H31" s="643"/>
      <c r="I31" s="643"/>
      <c r="J31" s="643"/>
      <c r="K31" s="643"/>
      <c r="L31" s="643"/>
      <c r="M31" s="643"/>
    </row>
    <row r="32" spans="2:13" s="145" customFormat="1" ht="18" customHeight="1" x14ac:dyDescent="0.25">
      <c r="B32" s="628">
        <v>20</v>
      </c>
      <c r="C32" s="629" t="s">
        <v>260</v>
      </c>
      <c r="D32" s="630">
        <v>858000</v>
      </c>
      <c r="E32" s="630">
        <v>0</v>
      </c>
      <c r="F32" s="630">
        <v>0</v>
      </c>
      <c r="G32" s="630">
        <v>291379</v>
      </c>
      <c r="H32" s="630">
        <v>94700</v>
      </c>
      <c r="I32" s="630">
        <v>22975</v>
      </c>
      <c r="J32" s="630">
        <v>49870</v>
      </c>
      <c r="K32" s="630">
        <v>40680</v>
      </c>
      <c r="L32" s="630">
        <v>80700</v>
      </c>
      <c r="M32" s="630">
        <f t="shared" ref="M32:M53" si="1">SUM(D32:L32)</f>
        <v>1438304</v>
      </c>
    </row>
    <row r="33" spans="2:13" s="145" customFormat="1" ht="18" customHeight="1" x14ac:dyDescent="0.25">
      <c r="B33" s="230">
        <v>21</v>
      </c>
      <c r="C33" s="254" t="s">
        <v>261</v>
      </c>
      <c r="D33" s="219">
        <v>1144000</v>
      </c>
      <c r="E33" s="219">
        <v>390000</v>
      </c>
      <c r="F33" s="219">
        <v>1479198</v>
      </c>
      <c r="G33" s="219">
        <v>291379</v>
      </c>
      <c r="H33" s="219">
        <v>94700</v>
      </c>
      <c r="I33" s="219">
        <v>22975</v>
      </c>
      <c r="J33" s="219">
        <v>49870</v>
      </c>
      <c r="K33" s="219">
        <v>40680</v>
      </c>
      <c r="L33" s="219">
        <v>80700</v>
      </c>
      <c r="M33" s="219">
        <f t="shared" si="1"/>
        <v>3593502</v>
      </c>
    </row>
    <row r="34" spans="2:13" s="145" customFormat="1" ht="18" customHeight="1" x14ac:dyDescent="0.25">
      <c r="B34" s="230">
        <v>22</v>
      </c>
      <c r="C34" s="254" t="s">
        <v>262</v>
      </c>
      <c r="D34" s="219">
        <v>1144000</v>
      </c>
      <c r="E34" s="219">
        <v>390000</v>
      </c>
      <c r="F34" s="219">
        <v>1479198</v>
      </c>
      <c r="G34" s="219">
        <v>291379</v>
      </c>
      <c r="H34" s="219">
        <v>94700</v>
      </c>
      <c r="I34" s="219">
        <v>22975</v>
      </c>
      <c r="J34" s="219">
        <v>49870</v>
      </c>
      <c r="K34" s="219">
        <v>67800</v>
      </c>
      <c r="L34" s="219">
        <v>134500</v>
      </c>
      <c r="M34" s="219">
        <f t="shared" si="1"/>
        <v>3674422</v>
      </c>
    </row>
    <row r="35" spans="2:13" s="145" customFormat="1" ht="18" customHeight="1" x14ac:dyDescent="0.25">
      <c r="B35" s="230">
        <v>23</v>
      </c>
      <c r="C35" s="254" t="s">
        <v>263</v>
      </c>
      <c r="D35" s="219">
        <v>572000</v>
      </c>
      <c r="E35" s="219">
        <v>390000</v>
      </c>
      <c r="F35" s="219">
        <v>1479198</v>
      </c>
      <c r="G35" s="219">
        <v>291379</v>
      </c>
      <c r="H35" s="219">
        <v>56820</v>
      </c>
      <c r="I35" s="219">
        <v>13785</v>
      </c>
      <c r="J35" s="219">
        <v>29922</v>
      </c>
      <c r="K35" s="219">
        <v>67800</v>
      </c>
      <c r="L35" s="219">
        <v>134500</v>
      </c>
      <c r="M35" s="219">
        <f t="shared" si="1"/>
        <v>3035404</v>
      </c>
    </row>
    <row r="36" spans="2:13" s="145" customFormat="1" ht="18" customHeight="1" x14ac:dyDescent="0.25">
      <c r="B36" s="230">
        <v>24</v>
      </c>
      <c r="C36" s="254" t="s">
        <v>264</v>
      </c>
      <c r="D36" s="219">
        <v>858000</v>
      </c>
      <c r="E36" s="219">
        <v>390000</v>
      </c>
      <c r="F36" s="219">
        <v>1479198</v>
      </c>
      <c r="G36" s="219">
        <v>291379</v>
      </c>
      <c r="H36" s="219">
        <v>94700</v>
      </c>
      <c r="I36" s="219">
        <v>22975</v>
      </c>
      <c r="J36" s="219">
        <v>49870</v>
      </c>
      <c r="K36" s="219">
        <v>67800</v>
      </c>
      <c r="L36" s="219">
        <v>134500</v>
      </c>
      <c r="M36" s="219">
        <f t="shared" si="1"/>
        <v>3388422</v>
      </c>
    </row>
    <row r="37" spans="2:13" s="145" customFormat="1" ht="18" customHeight="1" x14ac:dyDescent="0.25">
      <c r="B37" s="230">
        <v>25</v>
      </c>
      <c r="C37" s="254" t="s">
        <v>265</v>
      </c>
      <c r="D37" s="219">
        <v>1144000</v>
      </c>
      <c r="E37" s="219">
        <v>780000</v>
      </c>
      <c r="F37" s="219">
        <v>3807880</v>
      </c>
      <c r="G37" s="219">
        <v>0</v>
      </c>
      <c r="H37" s="219">
        <v>378800</v>
      </c>
      <c r="I37" s="219">
        <v>45950</v>
      </c>
      <c r="J37" s="219">
        <v>99740</v>
      </c>
      <c r="K37" s="219">
        <v>135600</v>
      </c>
      <c r="L37" s="219">
        <v>269000</v>
      </c>
      <c r="M37" s="219">
        <f t="shared" si="1"/>
        <v>6660970</v>
      </c>
    </row>
    <row r="38" spans="2:13" s="145" customFormat="1" ht="18" customHeight="1" x14ac:dyDescent="0.25">
      <c r="B38" s="230">
        <v>26</v>
      </c>
      <c r="C38" s="254" t="s">
        <v>266</v>
      </c>
      <c r="D38" s="219">
        <v>715000</v>
      </c>
      <c r="E38" s="219">
        <v>390000</v>
      </c>
      <c r="F38" s="219">
        <v>1479198</v>
      </c>
      <c r="G38" s="219">
        <v>291379</v>
      </c>
      <c r="H38" s="219">
        <v>94700</v>
      </c>
      <c r="I38" s="219">
        <v>22975</v>
      </c>
      <c r="J38" s="219">
        <v>49870</v>
      </c>
      <c r="K38" s="219">
        <v>40680</v>
      </c>
      <c r="L38" s="219">
        <v>80700</v>
      </c>
      <c r="M38" s="219">
        <f t="shared" si="1"/>
        <v>3164502</v>
      </c>
    </row>
    <row r="39" spans="2:13" s="145" customFormat="1" ht="18" customHeight="1" x14ac:dyDescent="0.25">
      <c r="B39" s="230">
        <v>27</v>
      </c>
      <c r="C39" s="254" t="s">
        <v>267</v>
      </c>
      <c r="D39" s="219">
        <v>1001000</v>
      </c>
      <c r="E39" s="219">
        <v>390000</v>
      </c>
      <c r="F39" s="219">
        <v>1479198</v>
      </c>
      <c r="G39" s="219">
        <v>291379</v>
      </c>
      <c r="H39" s="219">
        <v>113640</v>
      </c>
      <c r="I39" s="219">
        <v>22975</v>
      </c>
      <c r="J39" s="219">
        <v>49870</v>
      </c>
      <c r="K39" s="219">
        <v>40680</v>
      </c>
      <c r="L39" s="219">
        <v>80700</v>
      </c>
      <c r="M39" s="219">
        <f t="shared" si="1"/>
        <v>3469442</v>
      </c>
    </row>
    <row r="40" spans="2:13" s="145" customFormat="1" ht="18" customHeight="1" x14ac:dyDescent="0.25">
      <c r="B40" s="230">
        <v>28</v>
      </c>
      <c r="C40" s="254" t="s">
        <v>268</v>
      </c>
      <c r="D40" s="219">
        <v>1144000</v>
      </c>
      <c r="E40" s="219">
        <v>390000</v>
      </c>
      <c r="F40" s="219">
        <v>1479198</v>
      </c>
      <c r="G40" s="219">
        <v>291379</v>
      </c>
      <c r="H40" s="219">
        <v>113640</v>
      </c>
      <c r="I40" s="219">
        <v>22975</v>
      </c>
      <c r="J40" s="219">
        <v>49870</v>
      </c>
      <c r="K40" s="219">
        <v>67800</v>
      </c>
      <c r="L40" s="219">
        <v>134500</v>
      </c>
      <c r="M40" s="219">
        <f t="shared" si="1"/>
        <v>3693362</v>
      </c>
    </row>
    <row r="41" spans="2:13" s="145" customFormat="1" ht="18" customHeight="1" x14ac:dyDescent="0.25">
      <c r="B41" s="230">
        <v>29</v>
      </c>
      <c r="C41" s="254" t="s">
        <v>269</v>
      </c>
      <c r="D41" s="219">
        <v>715000</v>
      </c>
      <c r="E41" s="219">
        <v>390000</v>
      </c>
      <c r="F41" s="219">
        <v>1479198</v>
      </c>
      <c r="G41" s="219">
        <v>291379</v>
      </c>
      <c r="H41" s="219">
        <v>56820</v>
      </c>
      <c r="I41" s="219">
        <v>13785</v>
      </c>
      <c r="J41" s="219">
        <v>29922</v>
      </c>
      <c r="K41" s="219">
        <v>40680</v>
      </c>
      <c r="L41" s="219">
        <v>80700</v>
      </c>
      <c r="M41" s="219">
        <f t="shared" si="1"/>
        <v>3097484</v>
      </c>
    </row>
    <row r="42" spans="2:13" s="145" customFormat="1" ht="18" customHeight="1" x14ac:dyDescent="0.25">
      <c r="B42" s="230">
        <v>30</v>
      </c>
      <c r="C42" s="254" t="s">
        <v>270</v>
      </c>
      <c r="D42" s="219">
        <v>1001000</v>
      </c>
      <c r="E42" s="219">
        <v>390000</v>
      </c>
      <c r="F42" s="219">
        <v>1479198</v>
      </c>
      <c r="G42" s="219">
        <v>291379</v>
      </c>
      <c r="H42" s="219">
        <v>94700</v>
      </c>
      <c r="I42" s="219">
        <v>22975</v>
      </c>
      <c r="J42" s="219">
        <v>49870</v>
      </c>
      <c r="K42" s="219">
        <v>67800</v>
      </c>
      <c r="L42" s="219">
        <v>134500</v>
      </c>
      <c r="M42" s="219">
        <f t="shared" si="1"/>
        <v>3531422</v>
      </c>
    </row>
    <row r="43" spans="2:13" s="145" customFormat="1" ht="18" customHeight="1" x14ac:dyDescent="0.25">
      <c r="B43" s="230">
        <v>31</v>
      </c>
      <c r="C43" s="254" t="s">
        <v>271</v>
      </c>
      <c r="D43" s="219">
        <v>858000</v>
      </c>
      <c r="E43" s="219">
        <v>390000</v>
      </c>
      <c r="F43" s="219">
        <v>1479198</v>
      </c>
      <c r="G43" s="219">
        <v>291379</v>
      </c>
      <c r="H43" s="219">
        <v>94700</v>
      </c>
      <c r="I43" s="219">
        <v>22975</v>
      </c>
      <c r="J43" s="219">
        <v>49870</v>
      </c>
      <c r="K43" s="219">
        <v>67800</v>
      </c>
      <c r="L43" s="219">
        <v>134500</v>
      </c>
      <c r="M43" s="219">
        <f t="shared" si="1"/>
        <v>3388422</v>
      </c>
    </row>
    <row r="44" spans="2:13" s="145" customFormat="1" ht="18" customHeight="1" x14ac:dyDescent="0.25">
      <c r="B44" s="230">
        <v>32</v>
      </c>
      <c r="C44" s="254" t="s">
        <v>272</v>
      </c>
      <c r="D44" s="219">
        <v>572000</v>
      </c>
      <c r="E44" s="219">
        <v>0</v>
      </c>
      <c r="F44" s="219">
        <v>0</v>
      </c>
      <c r="G44" s="219">
        <v>291379</v>
      </c>
      <c r="H44" s="219">
        <v>56820</v>
      </c>
      <c r="I44" s="219">
        <v>13785</v>
      </c>
      <c r="J44" s="219">
        <v>29922</v>
      </c>
      <c r="K44" s="219">
        <v>27120</v>
      </c>
      <c r="L44" s="219">
        <v>53800</v>
      </c>
      <c r="M44" s="219">
        <f t="shared" si="1"/>
        <v>1044826</v>
      </c>
    </row>
    <row r="45" spans="2:13" s="145" customFormat="1" ht="18" customHeight="1" x14ac:dyDescent="0.25">
      <c r="B45" s="230">
        <v>33</v>
      </c>
      <c r="C45" s="254" t="s">
        <v>273</v>
      </c>
      <c r="D45" s="219">
        <v>1144000</v>
      </c>
      <c r="E45" s="219">
        <v>390000</v>
      </c>
      <c r="F45" s="219">
        <v>1479198</v>
      </c>
      <c r="G45" s="219">
        <v>291379</v>
      </c>
      <c r="H45" s="219">
        <v>94700</v>
      </c>
      <c r="I45" s="219">
        <v>22975</v>
      </c>
      <c r="J45" s="219">
        <v>49870</v>
      </c>
      <c r="K45" s="219">
        <v>40680</v>
      </c>
      <c r="L45" s="219">
        <v>80700</v>
      </c>
      <c r="M45" s="219">
        <f t="shared" si="1"/>
        <v>3593502</v>
      </c>
    </row>
    <row r="46" spans="2:13" s="145" customFormat="1" ht="18" customHeight="1" x14ac:dyDescent="0.25">
      <c r="B46" s="230">
        <v>34</v>
      </c>
      <c r="C46" s="254" t="s">
        <v>274</v>
      </c>
      <c r="D46" s="219">
        <v>572000</v>
      </c>
      <c r="E46" s="219">
        <v>390000</v>
      </c>
      <c r="F46" s="219">
        <v>1479198</v>
      </c>
      <c r="G46" s="219">
        <v>291379</v>
      </c>
      <c r="H46" s="219">
        <v>56820</v>
      </c>
      <c r="I46" s="219">
        <v>13785</v>
      </c>
      <c r="J46" s="219">
        <v>29922</v>
      </c>
      <c r="K46" s="219">
        <v>40680</v>
      </c>
      <c r="L46" s="219">
        <v>80700</v>
      </c>
      <c r="M46" s="219">
        <f t="shared" si="1"/>
        <v>2954484</v>
      </c>
    </row>
    <row r="47" spans="2:13" s="145" customFormat="1" ht="18" customHeight="1" x14ac:dyDescent="0.25">
      <c r="B47" s="230">
        <v>35</v>
      </c>
      <c r="C47" s="254" t="s">
        <v>275</v>
      </c>
      <c r="D47" s="219">
        <v>715000</v>
      </c>
      <c r="E47" s="219">
        <v>390000</v>
      </c>
      <c r="F47" s="219">
        <v>1479198</v>
      </c>
      <c r="G47" s="219">
        <v>291379</v>
      </c>
      <c r="H47" s="219">
        <v>94700</v>
      </c>
      <c r="I47" s="219">
        <v>13785</v>
      </c>
      <c r="J47" s="219">
        <v>29922</v>
      </c>
      <c r="K47" s="219">
        <v>67800</v>
      </c>
      <c r="L47" s="219">
        <v>134500</v>
      </c>
      <c r="M47" s="219">
        <f t="shared" si="1"/>
        <v>3216284</v>
      </c>
    </row>
    <row r="48" spans="2:13" s="145" customFormat="1" ht="18" customHeight="1" x14ac:dyDescent="0.25">
      <c r="B48" s="230">
        <v>36</v>
      </c>
      <c r="C48" s="254" t="s">
        <v>296</v>
      </c>
      <c r="D48" s="219">
        <v>2002000</v>
      </c>
      <c r="E48" s="219">
        <v>780000</v>
      </c>
      <c r="F48" s="219">
        <v>3807880</v>
      </c>
      <c r="G48" s="219">
        <v>291379</v>
      </c>
      <c r="H48" s="219">
        <v>189400</v>
      </c>
      <c r="I48" s="219">
        <v>36760</v>
      </c>
      <c r="J48" s="219">
        <v>79792</v>
      </c>
      <c r="K48" s="219">
        <v>67800</v>
      </c>
      <c r="L48" s="219">
        <v>134500</v>
      </c>
      <c r="M48" s="219">
        <f t="shared" si="1"/>
        <v>7389511</v>
      </c>
    </row>
    <row r="49" spans="2:13" s="145" customFormat="1" ht="18" customHeight="1" x14ac:dyDescent="0.25">
      <c r="B49" s="230">
        <v>37</v>
      </c>
      <c r="C49" s="254" t="s">
        <v>277</v>
      </c>
      <c r="D49" s="219">
        <v>2002000</v>
      </c>
      <c r="E49" s="219">
        <v>390000</v>
      </c>
      <c r="F49" s="219">
        <v>1903940</v>
      </c>
      <c r="G49" s="219">
        <v>291379</v>
      </c>
      <c r="H49" s="219">
        <v>189400</v>
      </c>
      <c r="I49" s="219">
        <v>36760</v>
      </c>
      <c r="J49" s="219">
        <v>79792</v>
      </c>
      <c r="K49" s="219">
        <v>67800</v>
      </c>
      <c r="L49" s="219">
        <v>134500</v>
      </c>
      <c r="M49" s="219">
        <f t="shared" si="1"/>
        <v>5095571</v>
      </c>
    </row>
    <row r="50" spans="2:13" s="145" customFormat="1" ht="18" customHeight="1" x14ac:dyDescent="0.25">
      <c r="B50" s="230">
        <v>38</v>
      </c>
      <c r="C50" s="254" t="s">
        <v>278</v>
      </c>
      <c r="D50" s="219">
        <v>2002000</v>
      </c>
      <c r="E50" s="219">
        <v>390000</v>
      </c>
      <c r="F50" s="219">
        <v>1903940</v>
      </c>
      <c r="G50" s="219">
        <v>291379</v>
      </c>
      <c r="H50" s="219">
        <v>189400</v>
      </c>
      <c r="I50" s="219">
        <v>36760</v>
      </c>
      <c r="J50" s="219">
        <v>79792</v>
      </c>
      <c r="K50" s="219">
        <v>135600</v>
      </c>
      <c r="L50" s="219">
        <v>269000</v>
      </c>
      <c r="M50" s="219">
        <f t="shared" si="1"/>
        <v>5297871</v>
      </c>
    </row>
    <row r="51" spans="2:13" s="145" customFormat="1" ht="18" customHeight="1" x14ac:dyDescent="0.25">
      <c r="B51" s="230">
        <v>39</v>
      </c>
      <c r="C51" s="256" t="s">
        <v>279</v>
      </c>
      <c r="D51" s="219">
        <v>572000</v>
      </c>
      <c r="E51" s="219">
        <v>0</v>
      </c>
      <c r="F51" s="219">
        <v>0</v>
      </c>
      <c r="G51" s="219">
        <v>0</v>
      </c>
      <c r="H51" s="219">
        <v>94700</v>
      </c>
      <c r="I51" s="219">
        <v>13785</v>
      </c>
      <c r="J51" s="219">
        <v>29922</v>
      </c>
      <c r="K51" s="219">
        <v>40680</v>
      </c>
      <c r="L51" s="219">
        <v>80700</v>
      </c>
      <c r="M51" s="219">
        <f t="shared" si="1"/>
        <v>831787</v>
      </c>
    </row>
    <row r="52" spans="2:13" s="145" customFormat="1" ht="18" customHeight="1" x14ac:dyDescent="0.25">
      <c r="B52" s="230">
        <v>40</v>
      </c>
      <c r="C52" s="254" t="s">
        <v>280</v>
      </c>
      <c r="D52" s="219">
        <v>1716000</v>
      </c>
      <c r="E52" s="219">
        <v>0</v>
      </c>
      <c r="F52" s="219">
        <v>0</v>
      </c>
      <c r="G52" s="219">
        <v>291379</v>
      </c>
      <c r="H52" s="219">
        <v>189400</v>
      </c>
      <c r="I52" s="219">
        <v>45950</v>
      </c>
      <c r="J52" s="219">
        <v>99740</v>
      </c>
      <c r="K52" s="219">
        <v>67800</v>
      </c>
      <c r="L52" s="219">
        <v>134500</v>
      </c>
      <c r="M52" s="219">
        <f t="shared" si="1"/>
        <v>2544769</v>
      </c>
    </row>
    <row r="53" spans="2:13" s="145" customFormat="1" ht="18" customHeight="1" x14ac:dyDescent="0.25">
      <c r="B53" s="967" t="s">
        <v>297</v>
      </c>
      <c r="C53" s="967"/>
      <c r="D53" s="224">
        <f>SUM(D6:D52)</f>
        <v>39754000</v>
      </c>
      <c r="E53" s="224">
        <f t="shared" ref="E53:L53" si="2">SUM(E6:E52)</f>
        <v>12090000</v>
      </c>
      <c r="F53" s="224">
        <f t="shared" si="2"/>
        <v>49677816</v>
      </c>
      <c r="G53" s="224">
        <f t="shared" si="2"/>
        <v>10781023</v>
      </c>
      <c r="H53" s="224">
        <f t="shared" si="2"/>
        <v>6231260</v>
      </c>
      <c r="I53" s="224">
        <f t="shared" si="2"/>
        <v>1167130</v>
      </c>
      <c r="J53" s="224">
        <f t="shared" si="2"/>
        <v>2573292</v>
      </c>
      <c r="K53" s="224">
        <f t="shared" si="2"/>
        <v>2508600</v>
      </c>
      <c r="L53" s="224">
        <f t="shared" si="2"/>
        <v>4976500</v>
      </c>
      <c r="M53" s="224">
        <f t="shared" si="1"/>
        <v>129759621</v>
      </c>
    </row>
    <row r="54" spans="2:13" s="145" customFormat="1" ht="18" customHeight="1" x14ac:dyDescent="0.25">
      <c r="B54" s="1023"/>
      <c r="C54" s="1023"/>
      <c r="D54" s="269"/>
      <c r="E54" s="269"/>
      <c r="F54" s="269"/>
      <c r="G54" s="269"/>
      <c r="H54" s="269"/>
      <c r="I54" s="269"/>
      <c r="J54" s="1024" t="s">
        <v>282</v>
      </c>
      <c r="K54" s="1024"/>
      <c r="L54" s="1024"/>
      <c r="M54" s="224">
        <f>M53*0.16</f>
        <v>20761539.359999999</v>
      </c>
    </row>
    <row r="55" spans="2:13" s="145" customFormat="1" ht="18" customHeight="1" x14ac:dyDescent="0.25">
      <c r="B55" s="247"/>
      <c r="C55" s="257"/>
      <c r="D55" s="221"/>
      <c r="E55" s="221"/>
      <c r="F55" s="221"/>
      <c r="G55" s="221"/>
      <c r="H55" s="221"/>
      <c r="I55" s="221"/>
      <c r="J55" s="903" t="s">
        <v>298</v>
      </c>
      <c r="K55" s="903"/>
      <c r="L55" s="903"/>
      <c r="M55" s="224">
        <f>SUM(M53:M54)</f>
        <v>150521160.36000001</v>
      </c>
    </row>
    <row r="56" spans="2:13" s="145" customFormat="1" ht="18" customHeight="1" x14ac:dyDescent="0.25">
      <c r="B56" s="247"/>
      <c r="C56" s="257"/>
      <c r="D56" s="221"/>
      <c r="E56" s="221"/>
      <c r="F56" s="221"/>
      <c r="G56" s="221"/>
      <c r="H56" s="221"/>
      <c r="I56" s="221"/>
      <c r="J56" s="903" t="s">
        <v>585</v>
      </c>
      <c r="K56" s="903"/>
      <c r="L56" s="903"/>
      <c r="M56" s="224">
        <f>+M55+'61.62INSUMOS MANTTO ELECTRICO'!K51</f>
        <v>205751078.04000002</v>
      </c>
    </row>
    <row r="57" spans="2:13" s="145" customFormat="1" ht="18" customHeight="1" x14ac:dyDescent="0.25">
      <c r="B57" s="247"/>
      <c r="C57" s="257"/>
      <c r="D57" s="221"/>
      <c r="E57" s="221"/>
      <c r="F57" s="221"/>
      <c r="G57" s="221"/>
      <c r="H57" s="221"/>
      <c r="I57" s="221"/>
      <c r="J57" s="1020" t="s">
        <v>586</v>
      </c>
      <c r="K57" s="1021"/>
      <c r="L57" s="1022"/>
      <c r="M57" s="224">
        <f>M56*0.7</f>
        <v>144025754.62799999</v>
      </c>
    </row>
  </sheetData>
  <mergeCells count="8">
    <mergeCell ref="B2:M2"/>
    <mergeCell ref="J57:L57"/>
    <mergeCell ref="J55:L55"/>
    <mergeCell ref="B4:M4"/>
    <mergeCell ref="B53:C53"/>
    <mergeCell ref="B54:C54"/>
    <mergeCell ref="J54:L54"/>
    <mergeCell ref="J56:L56"/>
  </mergeCells>
  <pageMargins left="1.38" right="0.7" top="0.55000000000000004" bottom="0.75" header="0.3" footer="0.3"/>
  <pageSetup paperSize="5" scale="90" orientation="landscape" r:id="rId1"/>
  <headerFooter>
    <oddFooter xml:space="preserve">&amp;C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rgb="FF00B0F0"/>
  </sheetPr>
  <dimension ref="C3:M54"/>
  <sheetViews>
    <sheetView view="pageLayout" topLeftCell="A46" zoomScale="80" zoomScaleNormal="100" zoomScalePageLayoutView="80" workbookViewId="0">
      <selection sqref="A1:A1048576"/>
    </sheetView>
  </sheetViews>
  <sheetFormatPr baseColWidth="10" defaultRowHeight="12" x14ac:dyDescent="0.2"/>
  <cols>
    <col min="1" max="2" width="11.42578125" style="159"/>
    <col min="3" max="3" width="6.7109375" style="236" customWidth="1"/>
    <col min="4" max="4" width="22.42578125" style="159" customWidth="1"/>
    <col min="5" max="5" width="13.85546875" style="159" customWidth="1"/>
    <col min="6" max="6" width="12.5703125" style="159" customWidth="1"/>
    <col min="7" max="7" width="11.28515625" style="159" customWidth="1"/>
    <col min="8" max="10" width="11.5703125" style="159" bestFit="1" customWidth="1"/>
    <col min="11" max="11" width="13.28515625" style="159" customWidth="1"/>
    <col min="12" max="12" width="11.5703125" style="159" bestFit="1" customWidth="1"/>
    <col min="13" max="13" width="14" style="159" customWidth="1"/>
    <col min="14" max="16384" width="11.42578125" style="159"/>
  </cols>
  <sheetData>
    <row r="3" spans="3:13" ht="23.25" customHeight="1" x14ac:dyDescent="0.2">
      <c r="C3" s="944" t="s">
        <v>1891</v>
      </c>
      <c r="D3" s="944"/>
      <c r="E3" s="944"/>
      <c r="F3" s="944"/>
      <c r="G3" s="944"/>
      <c r="H3" s="944"/>
      <c r="I3" s="944"/>
      <c r="J3" s="944"/>
      <c r="K3" s="944"/>
      <c r="L3" s="944"/>
      <c r="M3" s="944"/>
    </row>
    <row r="4" spans="3:13" s="229" customFormat="1" ht="100.5" customHeight="1" x14ac:dyDescent="0.25">
      <c r="C4" s="599" t="s">
        <v>346</v>
      </c>
      <c r="D4" s="599" t="s">
        <v>287</v>
      </c>
      <c r="E4" s="599" t="s">
        <v>587</v>
      </c>
      <c r="F4" s="599" t="s">
        <v>1688</v>
      </c>
      <c r="G4" s="599" t="s">
        <v>1689</v>
      </c>
      <c r="H4" s="599" t="s">
        <v>1690</v>
      </c>
      <c r="I4" s="599" t="s">
        <v>1691</v>
      </c>
      <c r="J4" s="599" t="s">
        <v>1692</v>
      </c>
      <c r="K4" s="599" t="s">
        <v>1693</v>
      </c>
      <c r="L4" s="599" t="s">
        <v>1694</v>
      </c>
      <c r="M4" s="599" t="s">
        <v>1460</v>
      </c>
    </row>
    <row r="5" spans="3:13" ht="22.5" customHeight="1" x14ac:dyDescent="0.2">
      <c r="C5" s="230">
        <v>1</v>
      </c>
      <c r="D5" s="254" t="s">
        <v>241</v>
      </c>
      <c r="E5" s="219">
        <v>2504627.4644999998</v>
      </c>
      <c r="F5" s="219">
        <v>245351.25300000003</v>
      </c>
      <c r="G5" s="219">
        <v>178901.73</v>
      </c>
      <c r="H5" s="219">
        <v>0</v>
      </c>
      <c r="I5" s="219">
        <v>0</v>
      </c>
      <c r="J5" s="219">
        <v>173790.56100000002</v>
      </c>
      <c r="K5" s="219">
        <v>490702.50600000005</v>
      </c>
      <c r="L5" s="219">
        <v>0</v>
      </c>
      <c r="M5" s="219">
        <f>SUM(E5:L5)</f>
        <v>3593373.5145</v>
      </c>
    </row>
    <row r="6" spans="3:13" ht="22.5" customHeight="1" x14ac:dyDescent="0.2">
      <c r="C6" s="230">
        <v>2</v>
      </c>
      <c r="D6" s="254" t="s">
        <v>242</v>
      </c>
      <c r="E6" s="219">
        <v>10171852.498500001</v>
      </c>
      <c r="F6" s="219">
        <v>245351.25300000003</v>
      </c>
      <c r="G6" s="219">
        <v>178901.73</v>
      </c>
      <c r="H6" s="219">
        <v>0</v>
      </c>
      <c r="I6" s="219">
        <v>0</v>
      </c>
      <c r="J6" s="219">
        <v>173790.56100000002</v>
      </c>
      <c r="K6" s="219">
        <v>490702.50600000005</v>
      </c>
      <c r="L6" s="219">
        <v>0</v>
      </c>
      <c r="M6" s="219">
        <f>SUM(E6:L6)</f>
        <v>11260598.548500001</v>
      </c>
    </row>
    <row r="7" spans="3:13" ht="22.5" customHeight="1" x14ac:dyDescent="0.2">
      <c r="C7" s="230">
        <v>3</v>
      </c>
      <c r="D7" s="254" t="s">
        <v>243</v>
      </c>
      <c r="E7" s="219">
        <v>10171852.498500001</v>
      </c>
      <c r="F7" s="219">
        <v>245351.25300000003</v>
      </c>
      <c r="G7" s="219">
        <v>178901.73</v>
      </c>
      <c r="H7" s="219">
        <v>0</v>
      </c>
      <c r="I7" s="219">
        <v>0</v>
      </c>
      <c r="J7" s="219">
        <v>173790.56100000002</v>
      </c>
      <c r="K7" s="219">
        <v>490702.50600000005</v>
      </c>
      <c r="L7" s="219">
        <v>0</v>
      </c>
      <c r="M7" s="219">
        <f>SUM(E7:L7)</f>
        <v>11260598.548500001</v>
      </c>
    </row>
    <row r="8" spans="3:13" ht="22.5" customHeight="1" x14ac:dyDescent="0.2">
      <c r="C8" s="230">
        <v>4</v>
      </c>
      <c r="D8" s="254" t="s">
        <v>244</v>
      </c>
      <c r="E8" s="219">
        <v>3833612.5170000005</v>
      </c>
      <c r="F8" s="219">
        <v>245351.25300000003</v>
      </c>
      <c r="G8" s="219">
        <v>178901.73</v>
      </c>
      <c r="H8" s="219">
        <v>0</v>
      </c>
      <c r="I8" s="219">
        <v>0</v>
      </c>
      <c r="J8" s="219">
        <v>173790.56100000002</v>
      </c>
      <c r="K8" s="219">
        <v>490702.50600000005</v>
      </c>
      <c r="L8" s="219">
        <v>0</v>
      </c>
      <c r="M8" s="219">
        <f t="shared" ref="M8:M50" si="0">SUM(E8:L8)</f>
        <v>4922358.5670000007</v>
      </c>
    </row>
    <row r="9" spans="3:13" ht="22.5" customHeight="1" x14ac:dyDescent="0.2">
      <c r="C9" s="230">
        <v>5</v>
      </c>
      <c r="D9" s="254" t="s">
        <v>245</v>
      </c>
      <c r="E9" s="219">
        <v>3833612.5170000005</v>
      </c>
      <c r="F9" s="219">
        <v>245351.25300000003</v>
      </c>
      <c r="G9" s="219">
        <v>178901.73</v>
      </c>
      <c r="H9" s="219">
        <v>0</v>
      </c>
      <c r="I9" s="219">
        <v>0</v>
      </c>
      <c r="J9" s="219">
        <v>173790.56100000002</v>
      </c>
      <c r="K9" s="219">
        <v>490702.50600000005</v>
      </c>
      <c r="L9" s="219">
        <v>0</v>
      </c>
      <c r="M9" s="219">
        <f t="shared" si="0"/>
        <v>4922358.5670000007</v>
      </c>
    </row>
    <row r="10" spans="3:13" ht="22.5" customHeight="1" x14ac:dyDescent="0.2">
      <c r="C10" s="230">
        <v>6</v>
      </c>
      <c r="D10" s="254" t="s">
        <v>246</v>
      </c>
      <c r="E10" s="219">
        <v>3833612.5170000005</v>
      </c>
      <c r="F10" s="219">
        <v>245351.25300000003</v>
      </c>
      <c r="G10" s="219">
        <v>178901.73</v>
      </c>
      <c r="H10" s="219">
        <v>0</v>
      </c>
      <c r="I10" s="219">
        <v>0</v>
      </c>
      <c r="J10" s="219">
        <v>173790.56100000002</v>
      </c>
      <c r="K10" s="219">
        <v>490702.50600000005</v>
      </c>
      <c r="L10" s="219">
        <v>0</v>
      </c>
      <c r="M10" s="219">
        <f t="shared" si="0"/>
        <v>4922358.5670000007</v>
      </c>
    </row>
    <row r="11" spans="3:13" ht="22.5" customHeight="1" x14ac:dyDescent="0.2">
      <c r="C11" s="230">
        <v>7</v>
      </c>
      <c r="D11" s="254" t="s">
        <v>526</v>
      </c>
      <c r="E11" s="219">
        <v>3833612.5170000005</v>
      </c>
      <c r="F11" s="219">
        <v>245351.25300000003</v>
      </c>
      <c r="G11" s="219">
        <v>178901.73</v>
      </c>
      <c r="H11" s="219">
        <v>0</v>
      </c>
      <c r="I11" s="219">
        <v>0</v>
      </c>
      <c r="J11" s="219">
        <v>173790.56100000002</v>
      </c>
      <c r="K11" s="219">
        <v>490702.50600000005</v>
      </c>
      <c r="L11" s="219">
        <v>0</v>
      </c>
      <c r="M11" s="219">
        <f t="shared" si="0"/>
        <v>4922358.5670000007</v>
      </c>
    </row>
    <row r="12" spans="3:13" ht="22.5" customHeight="1" x14ac:dyDescent="0.2">
      <c r="C12" s="230">
        <v>8</v>
      </c>
      <c r="D12" s="254" t="s">
        <v>248</v>
      </c>
      <c r="E12" s="219">
        <v>3833612.5170000005</v>
      </c>
      <c r="F12" s="219">
        <v>245351.25300000003</v>
      </c>
      <c r="G12" s="219">
        <v>178901.73</v>
      </c>
      <c r="H12" s="219">
        <v>0</v>
      </c>
      <c r="I12" s="219">
        <v>0</v>
      </c>
      <c r="J12" s="219">
        <v>173790.56100000002</v>
      </c>
      <c r="K12" s="219">
        <v>490702.50600000005</v>
      </c>
      <c r="L12" s="219">
        <v>0</v>
      </c>
      <c r="M12" s="219">
        <f t="shared" si="0"/>
        <v>4922358.5670000007</v>
      </c>
    </row>
    <row r="13" spans="3:13" ht="22.5" customHeight="1" x14ac:dyDescent="0.2">
      <c r="C13" s="230">
        <v>9</v>
      </c>
      <c r="D13" s="258" t="s">
        <v>249</v>
      </c>
      <c r="E13" s="219">
        <v>0</v>
      </c>
      <c r="F13" s="219">
        <v>245351.25300000003</v>
      </c>
      <c r="G13" s="219">
        <v>178901.73</v>
      </c>
      <c r="H13" s="219">
        <v>0</v>
      </c>
      <c r="I13" s="219">
        <v>0</v>
      </c>
      <c r="J13" s="219">
        <v>173790.56100000002</v>
      </c>
      <c r="K13" s="219">
        <v>490702.50600000005</v>
      </c>
      <c r="L13" s="219">
        <v>0</v>
      </c>
      <c r="M13" s="219">
        <f t="shared" si="0"/>
        <v>1088746.05</v>
      </c>
    </row>
    <row r="14" spans="3:13" ht="22.5" customHeight="1" x14ac:dyDescent="0.2">
      <c r="C14" s="230">
        <v>10</v>
      </c>
      <c r="D14" s="254" t="s">
        <v>250</v>
      </c>
      <c r="E14" s="219">
        <v>7667225.0340000009</v>
      </c>
      <c r="F14" s="219">
        <v>245351.25300000003</v>
      </c>
      <c r="G14" s="219">
        <v>178901.73</v>
      </c>
      <c r="H14" s="219">
        <v>0</v>
      </c>
      <c r="I14" s="219">
        <v>0</v>
      </c>
      <c r="J14" s="219">
        <v>173790.56100000002</v>
      </c>
      <c r="K14" s="219">
        <v>490702.50600000005</v>
      </c>
      <c r="L14" s="219">
        <v>0</v>
      </c>
      <c r="M14" s="219">
        <f t="shared" si="0"/>
        <v>8755971.0840000007</v>
      </c>
    </row>
    <row r="15" spans="3:13" ht="22.5" customHeight="1" x14ac:dyDescent="0.2">
      <c r="C15" s="230">
        <v>11</v>
      </c>
      <c r="D15" s="254" t="s">
        <v>251</v>
      </c>
      <c r="E15" s="219">
        <v>7667225.0340000009</v>
      </c>
      <c r="F15" s="219">
        <v>245351.25300000003</v>
      </c>
      <c r="G15" s="219">
        <v>178901.73</v>
      </c>
      <c r="H15" s="219">
        <v>0</v>
      </c>
      <c r="I15" s="219">
        <v>0</v>
      </c>
      <c r="J15" s="219">
        <v>173790.56100000002</v>
      </c>
      <c r="K15" s="219">
        <v>490702.50600000005</v>
      </c>
      <c r="L15" s="219">
        <v>0</v>
      </c>
      <c r="M15" s="219">
        <f t="shared" si="0"/>
        <v>8755971.0840000007</v>
      </c>
    </row>
    <row r="16" spans="3:13" ht="22.5" customHeight="1" x14ac:dyDescent="0.2">
      <c r="C16" s="230">
        <v>12</v>
      </c>
      <c r="D16" s="254" t="s">
        <v>252</v>
      </c>
      <c r="E16" s="219">
        <v>2504627.4644999998</v>
      </c>
      <c r="F16" s="219">
        <v>245351.25300000003</v>
      </c>
      <c r="G16" s="219">
        <v>178901.73</v>
      </c>
      <c r="H16" s="219">
        <v>0</v>
      </c>
      <c r="I16" s="219">
        <v>0</v>
      </c>
      <c r="J16" s="219">
        <v>173790.56100000002</v>
      </c>
      <c r="K16" s="219">
        <v>490702.50600000005</v>
      </c>
      <c r="L16" s="219">
        <v>0</v>
      </c>
      <c r="M16" s="219">
        <f t="shared" si="0"/>
        <v>3593373.5145</v>
      </c>
    </row>
    <row r="17" spans="3:13" ht="22.5" customHeight="1" x14ac:dyDescent="0.2">
      <c r="C17" s="230">
        <v>13</v>
      </c>
      <c r="D17" s="254" t="s">
        <v>253</v>
      </c>
      <c r="E17" s="219">
        <v>2504627.4644999998</v>
      </c>
      <c r="F17" s="219">
        <v>245351.25300000003</v>
      </c>
      <c r="G17" s="219">
        <v>178901.73</v>
      </c>
      <c r="H17" s="219">
        <v>0</v>
      </c>
      <c r="I17" s="219">
        <v>0</v>
      </c>
      <c r="J17" s="219">
        <v>173790.56100000002</v>
      </c>
      <c r="K17" s="219">
        <v>490702.50600000005</v>
      </c>
      <c r="L17" s="219">
        <v>0</v>
      </c>
      <c r="M17" s="219">
        <f t="shared" si="0"/>
        <v>3593373.5145</v>
      </c>
    </row>
    <row r="18" spans="3:13" ht="22.5" customHeight="1" x14ac:dyDescent="0.2">
      <c r="C18" s="230">
        <v>14</v>
      </c>
      <c r="D18" s="258" t="s">
        <v>254</v>
      </c>
      <c r="E18" s="219">
        <v>7667225.0340000009</v>
      </c>
      <c r="F18" s="219">
        <v>245351.25300000003</v>
      </c>
      <c r="G18" s="219">
        <v>178901.73</v>
      </c>
      <c r="H18" s="219">
        <v>0</v>
      </c>
      <c r="I18" s="219">
        <v>0</v>
      </c>
      <c r="J18" s="219">
        <v>173790.56100000002</v>
      </c>
      <c r="K18" s="219">
        <v>490702.50600000005</v>
      </c>
      <c r="L18" s="219">
        <v>0</v>
      </c>
      <c r="M18" s="219">
        <f t="shared" si="0"/>
        <v>8755971.0840000007</v>
      </c>
    </row>
    <row r="19" spans="3:13" ht="22.5" customHeight="1" x14ac:dyDescent="0.2">
      <c r="C19" s="230">
        <v>15</v>
      </c>
      <c r="D19" s="254" t="s">
        <v>255</v>
      </c>
      <c r="E19" s="219">
        <v>7667225.0340000009</v>
      </c>
      <c r="F19" s="219">
        <v>245351.25300000003</v>
      </c>
      <c r="G19" s="219">
        <v>178901.73</v>
      </c>
      <c r="H19" s="219">
        <v>0</v>
      </c>
      <c r="I19" s="219">
        <v>0</v>
      </c>
      <c r="J19" s="219">
        <v>173790.56100000002</v>
      </c>
      <c r="K19" s="219">
        <v>490702.50600000005</v>
      </c>
      <c r="L19" s="219">
        <v>0</v>
      </c>
      <c r="M19" s="219">
        <f t="shared" si="0"/>
        <v>8755971.0840000007</v>
      </c>
    </row>
    <row r="20" spans="3:13" ht="22.5" customHeight="1" x14ac:dyDescent="0.2">
      <c r="C20" s="230">
        <v>16</v>
      </c>
      <c r="D20" s="254" t="s">
        <v>256</v>
      </c>
      <c r="E20" s="219">
        <v>0</v>
      </c>
      <c r="F20" s="219">
        <v>245351.25300000003</v>
      </c>
      <c r="G20" s="219">
        <v>178901.73</v>
      </c>
      <c r="H20" s="219">
        <v>0</v>
      </c>
      <c r="I20" s="219">
        <v>0</v>
      </c>
      <c r="J20" s="219">
        <v>173790.56100000002</v>
      </c>
      <c r="K20" s="219">
        <v>490702.50600000005</v>
      </c>
      <c r="L20" s="219">
        <v>0</v>
      </c>
      <c r="M20" s="219">
        <f t="shared" si="0"/>
        <v>1088746.05</v>
      </c>
    </row>
    <row r="21" spans="3:13" ht="22.5" customHeight="1" x14ac:dyDescent="0.2">
      <c r="C21" s="230">
        <v>17</v>
      </c>
      <c r="D21" s="254" t="s">
        <v>257</v>
      </c>
      <c r="E21" s="219">
        <v>2504627.4644999998</v>
      </c>
      <c r="F21" s="219">
        <v>245351.25300000003</v>
      </c>
      <c r="G21" s="219">
        <v>178901.73</v>
      </c>
      <c r="H21" s="219">
        <v>0</v>
      </c>
      <c r="I21" s="219">
        <v>0</v>
      </c>
      <c r="J21" s="219">
        <v>173790.56100000002</v>
      </c>
      <c r="K21" s="219">
        <v>490702.50600000005</v>
      </c>
      <c r="L21" s="219">
        <v>0</v>
      </c>
      <c r="M21" s="219">
        <f t="shared" si="0"/>
        <v>3593373.5145</v>
      </c>
    </row>
    <row r="22" spans="3:13" ht="22.5" customHeight="1" x14ac:dyDescent="0.2">
      <c r="C22" s="230">
        <v>18</v>
      </c>
      <c r="D22" s="254" t="s">
        <v>258</v>
      </c>
      <c r="E22" s="219">
        <v>3833612.5170000005</v>
      </c>
      <c r="F22" s="219">
        <v>245351.25300000003</v>
      </c>
      <c r="G22" s="219">
        <v>178901.73</v>
      </c>
      <c r="H22" s="219">
        <v>0</v>
      </c>
      <c r="I22" s="219">
        <v>0</v>
      </c>
      <c r="J22" s="219">
        <v>173790.56100000002</v>
      </c>
      <c r="K22" s="219">
        <v>490702.50600000005</v>
      </c>
      <c r="L22" s="219">
        <v>0</v>
      </c>
      <c r="M22" s="219">
        <f t="shared" si="0"/>
        <v>4922358.5670000007</v>
      </c>
    </row>
    <row r="23" spans="3:13" ht="22.5" customHeight="1" x14ac:dyDescent="0.2">
      <c r="C23" s="282"/>
      <c r="D23" s="631"/>
      <c r="E23" s="633"/>
      <c r="F23" s="633"/>
      <c r="G23" s="633"/>
      <c r="H23" s="633"/>
      <c r="I23" s="633"/>
      <c r="J23" s="633"/>
      <c r="K23" s="633"/>
      <c r="L23" s="633"/>
      <c r="M23" s="633"/>
    </row>
    <row r="24" spans="3:13" ht="22.5" customHeight="1" x14ac:dyDescent="0.2">
      <c r="C24" s="610"/>
      <c r="D24" s="634"/>
      <c r="E24" s="636"/>
      <c r="F24" s="636"/>
      <c r="G24" s="636"/>
      <c r="H24" s="636"/>
      <c r="I24" s="636"/>
      <c r="J24" s="636"/>
      <c r="K24" s="636"/>
      <c r="L24" s="636"/>
      <c r="M24" s="636"/>
    </row>
    <row r="25" spans="3:13" ht="22.5" customHeight="1" x14ac:dyDescent="0.2">
      <c r="C25" s="610"/>
      <c r="D25" s="634"/>
      <c r="E25" s="636"/>
      <c r="F25" s="636"/>
      <c r="G25" s="636"/>
      <c r="H25" s="636"/>
      <c r="I25" s="636"/>
      <c r="J25" s="636"/>
      <c r="K25" s="636"/>
      <c r="L25" s="636"/>
      <c r="M25" s="636"/>
    </row>
    <row r="26" spans="3:13" ht="22.5" customHeight="1" x14ac:dyDescent="0.2">
      <c r="C26" s="610"/>
      <c r="D26" s="634"/>
      <c r="E26" s="636"/>
      <c r="F26" s="636"/>
      <c r="G26" s="636"/>
      <c r="H26" s="636"/>
      <c r="I26" s="636"/>
      <c r="J26" s="636"/>
      <c r="K26" s="636"/>
      <c r="L26" s="636"/>
      <c r="M26" s="636"/>
    </row>
    <row r="27" spans="3:13" ht="22.5" customHeight="1" x14ac:dyDescent="0.2">
      <c r="C27" s="610"/>
      <c r="D27" s="634"/>
      <c r="E27" s="636"/>
      <c r="F27" s="636"/>
      <c r="G27" s="636"/>
      <c r="H27" s="636"/>
      <c r="I27" s="636"/>
      <c r="J27" s="636"/>
      <c r="K27" s="636"/>
      <c r="L27" s="636"/>
      <c r="M27" s="636"/>
    </row>
    <row r="28" spans="3:13" ht="22.5" customHeight="1" x14ac:dyDescent="0.2">
      <c r="C28" s="610"/>
      <c r="D28" s="634"/>
      <c r="E28" s="636"/>
      <c r="F28" s="636"/>
      <c r="G28" s="636"/>
      <c r="H28" s="636"/>
      <c r="I28" s="636"/>
      <c r="J28" s="636"/>
      <c r="K28" s="636"/>
      <c r="L28" s="636"/>
      <c r="M28" s="636"/>
    </row>
    <row r="29" spans="3:13" ht="22.5" customHeight="1" x14ac:dyDescent="0.2">
      <c r="C29" s="230">
        <v>19</v>
      </c>
      <c r="D29" s="254" t="s">
        <v>259</v>
      </c>
      <c r="E29" s="219">
        <v>7667225.0340000009</v>
      </c>
      <c r="F29" s="219">
        <v>245351.25300000003</v>
      </c>
      <c r="G29" s="219">
        <v>178901.73</v>
      </c>
      <c r="H29" s="219">
        <v>0</v>
      </c>
      <c r="I29" s="219">
        <v>0</v>
      </c>
      <c r="J29" s="219">
        <v>173790.56100000002</v>
      </c>
      <c r="K29" s="219">
        <v>490702.50600000005</v>
      </c>
      <c r="L29" s="219">
        <v>0</v>
      </c>
      <c r="M29" s="219">
        <f t="shared" si="0"/>
        <v>8755971.0840000007</v>
      </c>
    </row>
    <row r="30" spans="3:13" ht="22.5" customHeight="1" x14ac:dyDescent="0.2">
      <c r="C30" s="230">
        <v>20</v>
      </c>
      <c r="D30" s="254" t="s">
        <v>260</v>
      </c>
      <c r="E30" s="219">
        <v>2504627.4644999998</v>
      </c>
      <c r="F30" s="219">
        <v>245351.25300000003</v>
      </c>
      <c r="G30" s="219">
        <v>178901.73</v>
      </c>
      <c r="H30" s="219">
        <v>0</v>
      </c>
      <c r="I30" s="219">
        <v>0</v>
      </c>
      <c r="J30" s="219">
        <v>173790.56100000002</v>
      </c>
      <c r="K30" s="219">
        <v>490702.50600000005</v>
      </c>
      <c r="L30" s="219">
        <v>0</v>
      </c>
      <c r="M30" s="219">
        <f t="shared" si="0"/>
        <v>3593373.5145</v>
      </c>
    </row>
    <row r="31" spans="3:13" ht="22.5" customHeight="1" x14ac:dyDescent="0.2">
      <c r="C31" s="230">
        <v>21</v>
      </c>
      <c r="D31" s="254" t="s">
        <v>261</v>
      </c>
      <c r="E31" s="219">
        <v>2504627.4644999998</v>
      </c>
      <c r="F31" s="219">
        <v>245351.25300000003</v>
      </c>
      <c r="G31" s="219">
        <v>178901.73</v>
      </c>
      <c r="H31" s="219">
        <v>0</v>
      </c>
      <c r="I31" s="219">
        <v>0</v>
      </c>
      <c r="J31" s="219">
        <v>173790.56100000002</v>
      </c>
      <c r="K31" s="219">
        <v>490702.50600000005</v>
      </c>
      <c r="L31" s="219">
        <v>0</v>
      </c>
      <c r="M31" s="219">
        <f t="shared" si="0"/>
        <v>3593373.5145</v>
      </c>
    </row>
    <row r="32" spans="3:13" ht="22.5" customHeight="1" x14ac:dyDescent="0.2">
      <c r="C32" s="230">
        <v>22</v>
      </c>
      <c r="D32" s="254" t="s">
        <v>262</v>
      </c>
      <c r="E32" s="219">
        <v>7667225.0340000009</v>
      </c>
      <c r="F32" s="219">
        <v>245351.25300000003</v>
      </c>
      <c r="G32" s="219">
        <v>178901.73</v>
      </c>
      <c r="H32" s="219">
        <v>0</v>
      </c>
      <c r="I32" s="219">
        <v>0</v>
      </c>
      <c r="J32" s="219">
        <v>173790.56100000002</v>
      </c>
      <c r="K32" s="219">
        <v>490702.50600000005</v>
      </c>
      <c r="L32" s="219">
        <v>0</v>
      </c>
      <c r="M32" s="219">
        <f t="shared" si="0"/>
        <v>8755971.0840000007</v>
      </c>
    </row>
    <row r="33" spans="3:13" ht="22.5" customHeight="1" x14ac:dyDescent="0.2">
      <c r="C33" s="230">
        <v>23</v>
      </c>
      <c r="D33" s="254" t="s">
        <v>263</v>
      </c>
      <c r="E33" s="219">
        <v>2504627.4644999998</v>
      </c>
      <c r="F33" s="219">
        <v>245351.25300000003</v>
      </c>
      <c r="G33" s="219">
        <v>178901.73</v>
      </c>
      <c r="H33" s="219">
        <v>0</v>
      </c>
      <c r="I33" s="219">
        <v>0</v>
      </c>
      <c r="J33" s="219">
        <v>173790.56100000002</v>
      </c>
      <c r="K33" s="219">
        <v>490702.50600000005</v>
      </c>
      <c r="L33" s="219">
        <v>0</v>
      </c>
      <c r="M33" s="219">
        <f t="shared" si="0"/>
        <v>3593373.5145</v>
      </c>
    </row>
    <row r="34" spans="3:13" ht="22.5" customHeight="1" x14ac:dyDescent="0.2">
      <c r="C34" s="230">
        <v>24</v>
      </c>
      <c r="D34" s="254" t="s">
        <v>264</v>
      </c>
      <c r="E34" s="219">
        <v>2504627.4644999998</v>
      </c>
      <c r="F34" s="219">
        <v>245351.25300000003</v>
      </c>
      <c r="G34" s="219">
        <v>178901.73</v>
      </c>
      <c r="H34" s="219">
        <v>0</v>
      </c>
      <c r="I34" s="219">
        <v>0</v>
      </c>
      <c r="J34" s="219">
        <v>173790.56100000002</v>
      </c>
      <c r="K34" s="219">
        <v>490702.50600000005</v>
      </c>
      <c r="L34" s="219">
        <v>0</v>
      </c>
      <c r="M34" s="219">
        <f t="shared" si="0"/>
        <v>3593373.5145</v>
      </c>
    </row>
    <row r="35" spans="3:13" ht="22.5" customHeight="1" x14ac:dyDescent="0.2">
      <c r="C35" s="230">
        <v>25</v>
      </c>
      <c r="D35" s="254" t="s">
        <v>265</v>
      </c>
      <c r="E35" s="219">
        <v>3833612.5170000005</v>
      </c>
      <c r="F35" s="219">
        <v>981405.0120000001</v>
      </c>
      <c r="G35" s="219">
        <v>715608.00150000001</v>
      </c>
      <c r="H35" s="219">
        <v>351115.46399999998</v>
      </c>
      <c r="I35" s="219">
        <v>859875.77550000011</v>
      </c>
      <c r="J35" s="219">
        <v>664056.14100000006</v>
      </c>
      <c r="K35" s="219">
        <v>2473958.2875000001</v>
      </c>
      <c r="L35" s="219">
        <v>112452.20700000001</v>
      </c>
      <c r="M35" s="219">
        <f t="shared" si="0"/>
        <v>9992083.4055000022</v>
      </c>
    </row>
    <row r="36" spans="3:13" ht="22.5" customHeight="1" x14ac:dyDescent="0.2">
      <c r="C36" s="230">
        <v>26</v>
      </c>
      <c r="D36" s="254" t="s">
        <v>266</v>
      </c>
      <c r="E36" s="219">
        <v>2504627.4644999998</v>
      </c>
      <c r="F36" s="219">
        <v>245351.25300000003</v>
      </c>
      <c r="G36" s="219">
        <v>178901.73</v>
      </c>
      <c r="H36" s="219">
        <v>0</v>
      </c>
      <c r="I36" s="219">
        <v>0</v>
      </c>
      <c r="J36" s="219">
        <v>173790.56100000002</v>
      </c>
      <c r="K36" s="219">
        <v>490702.50600000005</v>
      </c>
      <c r="L36" s="219">
        <v>0</v>
      </c>
      <c r="M36" s="219">
        <f t="shared" si="0"/>
        <v>3593373.5145</v>
      </c>
    </row>
    <row r="37" spans="3:13" ht="22.5" customHeight="1" x14ac:dyDescent="0.2">
      <c r="C37" s="230">
        <v>27</v>
      </c>
      <c r="D37" s="254" t="s">
        <v>267</v>
      </c>
      <c r="E37" s="219">
        <v>3833612.5170000005</v>
      </c>
      <c r="F37" s="219">
        <v>245351.25300000003</v>
      </c>
      <c r="G37" s="219">
        <v>178901.73</v>
      </c>
      <c r="H37" s="219">
        <v>0</v>
      </c>
      <c r="I37" s="219">
        <v>0</v>
      </c>
      <c r="J37" s="219">
        <v>173790.56100000002</v>
      </c>
      <c r="K37" s="219">
        <v>490702.50600000005</v>
      </c>
      <c r="L37" s="219">
        <v>0</v>
      </c>
      <c r="M37" s="219">
        <f t="shared" si="0"/>
        <v>4922358.5670000007</v>
      </c>
    </row>
    <row r="38" spans="3:13" ht="22.5" customHeight="1" x14ac:dyDescent="0.2">
      <c r="C38" s="230">
        <v>28</v>
      </c>
      <c r="D38" s="254" t="s">
        <v>268</v>
      </c>
      <c r="E38" s="219">
        <v>2504627.4644999998</v>
      </c>
      <c r="F38" s="219">
        <v>245351.25300000003</v>
      </c>
      <c r="G38" s="219">
        <v>178901.73</v>
      </c>
      <c r="H38" s="219">
        <v>0</v>
      </c>
      <c r="I38" s="219">
        <v>0</v>
      </c>
      <c r="J38" s="219">
        <v>173790.56100000002</v>
      </c>
      <c r="K38" s="219">
        <v>490702.50600000005</v>
      </c>
      <c r="L38" s="219">
        <v>0</v>
      </c>
      <c r="M38" s="219">
        <f t="shared" si="0"/>
        <v>3593373.5145</v>
      </c>
    </row>
    <row r="39" spans="3:13" ht="22.5" customHeight="1" x14ac:dyDescent="0.2">
      <c r="C39" s="230">
        <v>29</v>
      </c>
      <c r="D39" s="254" t="s">
        <v>269</v>
      </c>
      <c r="E39" s="219">
        <v>2504627.4644999998</v>
      </c>
      <c r="F39" s="219">
        <v>245351.25300000003</v>
      </c>
      <c r="G39" s="219">
        <v>178901.73</v>
      </c>
      <c r="H39" s="219">
        <v>0</v>
      </c>
      <c r="I39" s="219">
        <v>0</v>
      </c>
      <c r="J39" s="219">
        <v>173790.56100000002</v>
      </c>
      <c r="K39" s="219">
        <v>490702.50600000005</v>
      </c>
      <c r="L39" s="219">
        <v>0</v>
      </c>
      <c r="M39" s="219">
        <f t="shared" si="0"/>
        <v>3593373.5145</v>
      </c>
    </row>
    <row r="40" spans="3:13" ht="22.5" customHeight="1" x14ac:dyDescent="0.2">
      <c r="C40" s="230">
        <v>30</v>
      </c>
      <c r="D40" s="254" t="s">
        <v>270</v>
      </c>
      <c r="E40" s="219">
        <v>3833612.5170000005</v>
      </c>
      <c r="F40" s="219">
        <v>245351.25300000003</v>
      </c>
      <c r="G40" s="219">
        <v>178901.73</v>
      </c>
      <c r="H40" s="219">
        <v>0</v>
      </c>
      <c r="I40" s="219">
        <v>0</v>
      </c>
      <c r="J40" s="219">
        <v>173790.56100000002</v>
      </c>
      <c r="K40" s="219">
        <v>490702.50600000005</v>
      </c>
      <c r="L40" s="219">
        <v>0</v>
      </c>
      <c r="M40" s="219">
        <f t="shared" si="0"/>
        <v>4922358.5670000007</v>
      </c>
    </row>
    <row r="41" spans="3:13" ht="22.5" customHeight="1" x14ac:dyDescent="0.2">
      <c r="C41" s="230">
        <v>31</v>
      </c>
      <c r="D41" s="254" t="s">
        <v>271</v>
      </c>
      <c r="E41" s="219">
        <v>10171852.498500001</v>
      </c>
      <c r="F41" s="219">
        <v>245351.25300000003</v>
      </c>
      <c r="G41" s="219">
        <v>178901.73</v>
      </c>
      <c r="H41" s="219">
        <v>0</v>
      </c>
      <c r="I41" s="219">
        <v>0</v>
      </c>
      <c r="J41" s="219">
        <v>173790.56100000002</v>
      </c>
      <c r="K41" s="219">
        <v>490702.50600000005</v>
      </c>
      <c r="L41" s="219">
        <v>0</v>
      </c>
      <c r="M41" s="219">
        <f t="shared" si="0"/>
        <v>11260598.548500001</v>
      </c>
    </row>
    <row r="42" spans="3:13" ht="22.5" customHeight="1" x14ac:dyDescent="0.2">
      <c r="C42" s="230">
        <v>32</v>
      </c>
      <c r="D42" s="254" t="s">
        <v>272</v>
      </c>
      <c r="E42" s="219">
        <v>2504627.4644999998</v>
      </c>
      <c r="F42" s="219">
        <v>245351.25300000003</v>
      </c>
      <c r="G42" s="219">
        <v>178901.73</v>
      </c>
      <c r="H42" s="219">
        <v>0</v>
      </c>
      <c r="I42" s="219">
        <v>0</v>
      </c>
      <c r="J42" s="219">
        <v>173790.56100000002</v>
      </c>
      <c r="K42" s="219">
        <v>490702.50600000005</v>
      </c>
      <c r="L42" s="219">
        <v>0</v>
      </c>
      <c r="M42" s="219">
        <f t="shared" si="0"/>
        <v>3593373.5145</v>
      </c>
    </row>
    <row r="43" spans="3:13" ht="22.5" customHeight="1" x14ac:dyDescent="0.2">
      <c r="C43" s="230">
        <v>33</v>
      </c>
      <c r="D43" s="254" t="s">
        <v>273</v>
      </c>
      <c r="E43" s="219">
        <v>3833612.5170000005</v>
      </c>
      <c r="F43" s="219">
        <v>245351.25300000003</v>
      </c>
      <c r="G43" s="219">
        <v>178901.73</v>
      </c>
      <c r="H43" s="219">
        <v>0</v>
      </c>
      <c r="I43" s="219">
        <v>0</v>
      </c>
      <c r="J43" s="219">
        <v>173790.56100000002</v>
      </c>
      <c r="K43" s="219">
        <v>490702.50600000005</v>
      </c>
      <c r="L43" s="219">
        <v>0</v>
      </c>
      <c r="M43" s="219">
        <f t="shared" si="0"/>
        <v>4922358.5670000007</v>
      </c>
    </row>
    <row r="44" spans="3:13" ht="22.5" customHeight="1" x14ac:dyDescent="0.2">
      <c r="C44" s="230">
        <v>34</v>
      </c>
      <c r="D44" s="254" t="s">
        <v>274</v>
      </c>
      <c r="E44" s="219">
        <v>3833612.5170000005</v>
      </c>
      <c r="F44" s="219">
        <v>245351.25300000003</v>
      </c>
      <c r="G44" s="219">
        <v>178901.73</v>
      </c>
      <c r="H44" s="219">
        <v>0</v>
      </c>
      <c r="I44" s="219">
        <v>0</v>
      </c>
      <c r="J44" s="219">
        <v>173790.56100000002</v>
      </c>
      <c r="K44" s="219">
        <v>490702.50600000005</v>
      </c>
      <c r="L44" s="219">
        <v>0</v>
      </c>
      <c r="M44" s="219">
        <f t="shared" si="0"/>
        <v>4922358.5670000007</v>
      </c>
    </row>
    <row r="45" spans="3:13" ht="22.5" customHeight="1" x14ac:dyDescent="0.2">
      <c r="C45" s="230">
        <v>35</v>
      </c>
      <c r="D45" s="254" t="s">
        <v>275</v>
      </c>
      <c r="E45" s="219">
        <v>2504627.4644999998</v>
      </c>
      <c r="F45" s="219">
        <v>245351.25300000003</v>
      </c>
      <c r="G45" s="219">
        <v>178901.73</v>
      </c>
      <c r="H45" s="219">
        <v>0</v>
      </c>
      <c r="I45" s="219">
        <v>0</v>
      </c>
      <c r="J45" s="219">
        <v>173790.56100000002</v>
      </c>
      <c r="K45" s="219">
        <v>490702.50600000005</v>
      </c>
      <c r="L45" s="219">
        <v>0</v>
      </c>
      <c r="M45" s="219">
        <f t="shared" si="0"/>
        <v>3593373.5145</v>
      </c>
    </row>
    <row r="46" spans="3:13" ht="22.5" customHeight="1" x14ac:dyDescent="0.2">
      <c r="C46" s="230">
        <v>36</v>
      </c>
      <c r="D46" s="254" t="s">
        <v>296</v>
      </c>
      <c r="E46" s="219">
        <v>11500838.6325</v>
      </c>
      <c r="F46" s="219">
        <v>981405.0120000001</v>
      </c>
      <c r="G46" s="219">
        <v>715608.00150000001</v>
      </c>
      <c r="H46" s="219">
        <v>351115.46399999998</v>
      </c>
      <c r="I46" s="219">
        <v>1719751.5510000002</v>
      </c>
      <c r="J46" s="219">
        <v>664056.14100000006</v>
      </c>
      <c r="K46" s="219">
        <v>2473958.2875000001</v>
      </c>
      <c r="L46" s="219">
        <v>112452.20700000001</v>
      </c>
      <c r="M46" s="219">
        <f t="shared" si="0"/>
        <v>18519185.296500001</v>
      </c>
    </row>
    <row r="47" spans="3:13" ht="22.5" customHeight="1" x14ac:dyDescent="0.2">
      <c r="C47" s="230">
        <v>37</v>
      </c>
      <c r="D47" s="254" t="s">
        <v>277</v>
      </c>
      <c r="E47" s="219">
        <v>11500838.6325</v>
      </c>
      <c r="F47" s="219">
        <v>981405.0120000001</v>
      </c>
      <c r="G47" s="219">
        <v>715608.00150000001</v>
      </c>
      <c r="H47" s="219">
        <v>351115.46399999998</v>
      </c>
      <c r="I47" s="219">
        <v>859875.77550000011</v>
      </c>
      <c r="J47" s="219">
        <v>664056.14100000006</v>
      </c>
      <c r="K47" s="219">
        <v>2473958.2875000001</v>
      </c>
      <c r="L47" s="219">
        <v>112452.20700000001</v>
      </c>
      <c r="M47" s="219">
        <f t="shared" si="0"/>
        <v>17659309.520999998</v>
      </c>
    </row>
    <row r="48" spans="3:13" ht="22.5" customHeight="1" x14ac:dyDescent="0.2">
      <c r="C48" s="230">
        <v>38</v>
      </c>
      <c r="D48" s="254" t="s">
        <v>278</v>
      </c>
      <c r="E48" s="219">
        <v>11500838.6325</v>
      </c>
      <c r="F48" s="219">
        <v>981405.0120000001</v>
      </c>
      <c r="G48" s="219">
        <v>715608.00150000001</v>
      </c>
      <c r="H48" s="219">
        <v>351115.46399999998</v>
      </c>
      <c r="I48" s="219">
        <v>1719751.5510000002</v>
      </c>
      <c r="J48" s="219">
        <v>664056.14100000006</v>
      </c>
      <c r="K48" s="219">
        <v>2473958.2875000001</v>
      </c>
      <c r="L48" s="219">
        <v>112452.20700000001</v>
      </c>
      <c r="M48" s="219">
        <f t="shared" si="0"/>
        <v>18519185.296500001</v>
      </c>
    </row>
    <row r="49" spans="3:13" ht="22.5" customHeight="1" x14ac:dyDescent="0.2">
      <c r="C49" s="230">
        <v>39</v>
      </c>
      <c r="D49" s="258" t="s">
        <v>279</v>
      </c>
      <c r="E49" s="219">
        <v>2504627.4644999998</v>
      </c>
      <c r="F49" s="219">
        <v>245351.25300000003</v>
      </c>
      <c r="G49" s="219">
        <v>178901.73</v>
      </c>
      <c r="H49" s="219">
        <v>0</v>
      </c>
      <c r="I49" s="219">
        <v>0</v>
      </c>
      <c r="J49" s="219">
        <v>173790.56100000002</v>
      </c>
      <c r="K49" s="219">
        <v>490702.50600000005</v>
      </c>
      <c r="L49" s="219">
        <v>0</v>
      </c>
      <c r="M49" s="219">
        <f t="shared" si="0"/>
        <v>3593373.5145</v>
      </c>
    </row>
    <row r="50" spans="3:13" ht="22.5" customHeight="1" x14ac:dyDescent="0.2">
      <c r="C50" s="230">
        <v>40</v>
      </c>
      <c r="D50" s="254" t="s">
        <v>280</v>
      </c>
      <c r="E50" s="219">
        <v>11500838.6325</v>
      </c>
      <c r="F50" s="219">
        <v>981405.0120000001</v>
      </c>
      <c r="G50" s="219">
        <v>715608.00150000001</v>
      </c>
      <c r="H50" s="219">
        <v>351115.46399999998</v>
      </c>
      <c r="I50" s="219">
        <v>859875.77550000011</v>
      </c>
      <c r="J50" s="219">
        <v>664056.14100000006</v>
      </c>
      <c r="K50" s="219">
        <v>2473958.2875000001</v>
      </c>
      <c r="L50" s="219">
        <v>112452.20700000001</v>
      </c>
      <c r="M50" s="219">
        <f t="shared" si="0"/>
        <v>17659309.520999998</v>
      </c>
    </row>
    <row r="51" spans="3:13" ht="22.5" customHeight="1" x14ac:dyDescent="0.2">
      <c r="C51" s="945" t="s">
        <v>297</v>
      </c>
      <c r="D51" s="947"/>
      <c r="E51" s="224">
        <f>SUM(E5:E50)</f>
        <v>199756784.41949993</v>
      </c>
      <c r="F51" s="224">
        <f t="shared" ref="F51:M51" si="1">SUM(F5:F50)</f>
        <v>13494318.915000008</v>
      </c>
      <c r="G51" s="224">
        <f t="shared" si="1"/>
        <v>9839600.5575000048</v>
      </c>
      <c r="H51" s="224">
        <f t="shared" si="1"/>
        <v>1755577.3199999998</v>
      </c>
      <c r="I51" s="224">
        <f t="shared" si="1"/>
        <v>6019130.4285000013</v>
      </c>
      <c r="J51" s="224">
        <f t="shared" si="1"/>
        <v>9402950.3400000017</v>
      </c>
      <c r="K51" s="224">
        <f t="shared" si="1"/>
        <v>29544379.14750002</v>
      </c>
      <c r="L51" s="224">
        <f t="shared" si="1"/>
        <v>562261.03500000003</v>
      </c>
      <c r="M51" s="224">
        <f t="shared" si="1"/>
        <v>270375002.16299999</v>
      </c>
    </row>
    <row r="52" spans="3:13" ht="22.5" customHeight="1" x14ac:dyDescent="0.2">
      <c r="C52" s="234"/>
      <c r="D52" s="259"/>
      <c r="E52" s="225"/>
      <c r="F52" s="225"/>
      <c r="G52" s="225"/>
      <c r="H52" s="225"/>
      <c r="I52" s="225"/>
      <c r="J52" s="225"/>
      <c r="K52" s="903" t="s">
        <v>588</v>
      </c>
      <c r="L52" s="903"/>
      <c r="M52" s="224">
        <f>M51*0.16</f>
        <v>43260000.346079998</v>
      </c>
    </row>
    <row r="53" spans="3:13" ht="22.5" customHeight="1" x14ac:dyDescent="0.2">
      <c r="C53" s="234"/>
      <c r="D53" s="259"/>
      <c r="E53" s="225"/>
      <c r="F53" s="225"/>
      <c r="G53" s="225"/>
      <c r="H53" s="225"/>
      <c r="I53" s="225"/>
      <c r="J53" s="225"/>
      <c r="K53" s="903" t="s">
        <v>161</v>
      </c>
      <c r="L53" s="903"/>
      <c r="M53" s="224">
        <f>SUM(M51:M52)</f>
        <v>313635002.50907999</v>
      </c>
    </row>
    <row r="54" spans="3:13" ht="22.5" customHeight="1" x14ac:dyDescent="0.2">
      <c r="C54" s="234"/>
      <c r="D54" s="259"/>
      <c r="E54" s="225"/>
      <c r="F54" s="225"/>
      <c r="G54" s="225"/>
      <c r="H54" s="225"/>
      <c r="I54" s="225"/>
      <c r="J54" s="225"/>
      <c r="K54" s="903" t="s">
        <v>583</v>
      </c>
      <c r="L54" s="903"/>
      <c r="M54" s="224">
        <f>M53*0.7</f>
        <v>219544501.75635597</v>
      </c>
    </row>
  </sheetData>
  <mergeCells count="5">
    <mergeCell ref="C3:M3"/>
    <mergeCell ref="K52:L52"/>
    <mergeCell ref="K53:L53"/>
    <mergeCell ref="K54:L54"/>
    <mergeCell ref="C51:D51"/>
  </mergeCells>
  <pageMargins left="0.7" right="0.7" top="0.75" bottom="0.75" header="0.3" footer="0.3"/>
  <pageSetup paperSize="5" scale="80" orientation="landscape" r:id="rId1"/>
  <headerFooter>
    <oddFooter xml:space="preserve">&amp;C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T50"/>
  <sheetViews>
    <sheetView view="pageLayout" zoomScale="80" zoomScaleNormal="90" zoomScalePageLayoutView="80" workbookViewId="0">
      <selection activeCell="H6" sqref="H6"/>
    </sheetView>
  </sheetViews>
  <sheetFormatPr baseColWidth="10" defaultRowHeight="15" x14ac:dyDescent="0.25"/>
  <cols>
    <col min="1" max="1" width="11.42578125" style="113"/>
    <col min="2" max="2" width="4" style="262" customWidth="1"/>
    <col min="3" max="3" width="20.5703125" style="113" customWidth="1"/>
    <col min="4" max="4" width="8.42578125" style="113" customWidth="1"/>
    <col min="5" max="5" width="10" style="113" customWidth="1"/>
    <col min="6" max="6" width="10.5703125" style="113" customWidth="1"/>
    <col min="7" max="7" width="11" style="113" customWidth="1"/>
    <col min="8" max="8" width="10.7109375" style="113" customWidth="1"/>
    <col min="9" max="9" width="9.42578125" style="113" customWidth="1"/>
    <col min="10" max="10" width="11.140625" style="113" customWidth="1"/>
    <col min="11" max="11" width="10.42578125" style="113" customWidth="1"/>
    <col min="12" max="12" width="9.5703125" style="113" customWidth="1"/>
    <col min="13" max="13" width="10.42578125" style="113" customWidth="1"/>
    <col min="14" max="14" width="10.85546875" style="113" customWidth="1"/>
    <col min="15" max="15" width="9.85546875" style="113" customWidth="1"/>
    <col min="16" max="16" width="10" style="113" customWidth="1"/>
    <col min="17" max="17" width="10.5703125" style="113" customWidth="1"/>
    <col min="18" max="18" width="10.140625" style="113" customWidth="1"/>
    <col min="19" max="19" width="10.28515625" style="113" customWidth="1"/>
    <col min="20" max="20" width="12.5703125" style="113" customWidth="1"/>
    <col min="21" max="16384" width="11.42578125" style="113"/>
  </cols>
  <sheetData>
    <row r="1" spans="2:20" ht="15.75" x14ac:dyDescent="0.25">
      <c r="B1" s="1028"/>
      <c r="C1" s="1028"/>
      <c r="D1" s="1028"/>
      <c r="E1" s="1028"/>
      <c r="F1" s="1028"/>
      <c r="G1" s="1028"/>
      <c r="H1" s="1028"/>
      <c r="I1" s="1028"/>
      <c r="J1" s="1028"/>
      <c r="K1" s="1028"/>
      <c r="L1" s="1028"/>
      <c r="M1" s="1028"/>
      <c r="N1" s="1028"/>
      <c r="O1" s="1028"/>
      <c r="P1" s="1028"/>
      <c r="Q1" s="1028"/>
      <c r="R1" s="1028"/>
      <c r="S1" s="1028"/>
      <c r="T1" s="1028"/>
    </row>
    <row r="2" spans="2:20" x14ac:dyDescent="0.25">
      <c r="B2" s="1029" t="s">
        <v>1416</v>
      </c>
      <c r="C2" s="1029"/>
      <c r="D2" s="1029"/>
      <c r="E2" s="1029"/>
      <c r="F2" s="1029"/>
      <c r="G2" s="1029"/>
      <c r="H2" s="1029"/>
      <c r="I2" s="1029"/>
      <c r="J2" s="1029"/>
      <c r="K2" s="1029"/>
      <c r="L2" s="1029"/>
      <c r="M2" s="1029"/>
      <c r="N2" s="1029"/>
      <c r="O2" s="1029"/>
      <c r="P2" s="1029"/>
      <c r="Q2" s="1029"/>
      <c r="R2" s="1029"/>
      <c r="S2" s="1029"/>
      <c r="T2" s="1029"/>
    </row>
    <row r="3" spans="2:20" s="272" customFormat="1" ht="123" customHeight="1" x14ac:dyDescent="0.25">
      <c r="B3" s="273" t="s">
        <v>346</v>
      </c>
      <c r="C3" s="273" t="s">
        <v>287</v>
      </c>
      <c r="D3" s="274" t="s">
        <v>589</v>
      </c>
      <c r="E3" s="274" t="s">
        <v>590</v>
      </c>
      <c r="F3" s="274" t="s">
        <v>591</v>
      </c>
      <c r="G3" s="274" t="s">
        <v>592</v>
      </c>
      <c r="H3" s="274" t="s">
        <v>593</v>
      </c>
      <c r="I3" s="274" t="s">
        <v>594</v>
      </c>
      <c r="J3" s="274" t="s">
        <v>595</v>
      </c>
      <c r="K3" s="274" t="s">
        <v>596</v>
      </c>
      <c r="L3" s="274" t="s">
        <v>597</v>
      </c>
      <c r="M3" s="274" t="s">
        <v>1695</v>
      </c>
      <c r="N3" s="274" t="s">
        <v>598</v>
      </c>
      <c r="O3" s="274" t="s">
        <v>599</v>
      </c>
      <c r="P3" s="274" t="s">
        <v>1696</v>
      </c>
      <c r="Q3" s="274" t="s">
        <v>493</v>
      </c>
      <c r="R3" s="274" t="s">
        <v>600</v>
      </c>
      <c r="S3" s="274" t="s">
        <v>601</v>
      </c>
      <c r="T3" s="274" t="s">
        <v>1460</v>
      </c>
    </row>
    <row r="4" spans="2:20" ht="18" customHeight="1" x14ac:dyDescent="0.25">
      <c r="B4" s="275">
        <v>1</v>
      </c>
      <c r="C4" s="276" t="s">
        <v>241</v>
      </c>
      <c r="D4" s="277">
        <v>0</v>
      </c>
      <c r="E4" s="277">
        <v>212090.802</v>
      </c>
      <c r="F4" s="277">
        <v>491562.29850000003</v>
      </c>
      <c r="G4" s="277">
        <v>297322.73550000007</v>
      </c>
      <c r="H4" s="277">
        <v>396430.31400000001</v>
      </c>
      <c r="I4" s="277">
        <v>50445.486000000004</v>
      </c>
      <c r="J4" s="277">
        <v>619422.63600000006</v>
      </c>
      <c r="K4" s="277">
        <v>198215.15700000001</v>
      </c>
      <c r="L4" s="277">
        <v>184966.78200000001</v>
      </c>
      <c r="M4" s="277">
        <v>0</v>
      </c>
      <c r="N4" s="277">
        <v>0</v>
      </c>
      <c r="O4" s="277">
        <v>0</v>
      </c>
      <c r="P4" s="277">
        <v>0</v>
      </c>
      <c r="Q4" s="277">
        <v>107953.16700000002</v>
      </c>
      <c r="R4" s="277">
        <v>0</v>
      </c>
      <c r="S4" s="277">
        <v>0</v>
      </c>
      <c r="T4" s="277">
        <f>SUM(D4:S4)</f>
        <v>2558409.3780000005</v>
      </c>
    </row>
    <row r="5" spans="2:20" ht="18" customHeight="1" x14ac:dyDescent="0.25">
      <c r="B5" s="275">
        <v>2</v>
      </c>
      <c r="C5" s="276" t="s">
        <v>242</v>
      </c>
      <c r="D5" s="277">
        <v>161929.75050000002</v>
      </c>
      <c r="E5" s="277">
        <v>212090.802</v>
      </c>
      <c r="F5" s="277">
        <v>491562.29850000003</v>
      </c>
      <c r="G5" s="277">
        <v>297322.73550000007</v>
      </c>
      <c r="H5" s="277">
        <v>396430.31400000001</v>
      </c>
      <c r="I5" s="277">
        <v>50445.486000000004</v>
      </c>
      <c r="J5" s="277">
        <v>619422.63600000006</v>
      </c>
      <c r="K5" s="277">
        <v>198215.15700000001</v>
      </c>
      <c r="L5" s="277">
        <v>184966.78200000001</v>
      </c>
      <c r="M5" s="277">
        <v>2477690.5440000002</v>
      </c>
      <c r="N5" s="277">
        <v>4203789.4185000006</v>
      </c>
      <c r="O5" s="277">
        <v>743307.37950000004</v>
      </c>
      <c r="P5" s="277">
        <v>1189292.0234999999</v>
      </c>
      <c r="Q5" s="277">
        <v>107953.16700000002</v>
      </c>
      <c r="R5" s="277">
        <v>0</v>
      </c>
      <c r="S5" s="277">
        <v>504454.86</v>
      </c>
      <c r="T5" s="277">
        <f t="shared" ref="T5:T47" si="0">SUM(D5:S5)</f>
        <v>11838873.354</v>
      </c>
    </row>
    <row r="6" spans="2:20" ht="18" customHeight="1" x14ac:dyDescent="0.25">
      <c r="B6" s="275">
        <v>3</v>
      </c>
      <c r="C6" s="276" t="s">
        <v>243</v>
      </c>
      <c r="D6" s="277">
        <v>0</v>
      </c>
      <c r="E6" s="277">
        <v>212090.802</v>
      </c>
      <c r="F6" s="277">
        <v>491562.29850000003</v>
      </c>
      <c r="G6" s="277">
        <v>297322.73550000007</v>
      </c>
      <c r="H6" s="277">
        <v>396430.31400000001</v>
      </c>
      <c r="I6" s="277">
        <v>50445.486000000004</v>
      </c>
      <c r="J6" s="277">
        <v>619422.63600000006</v>
      </c>
      <c r="K6" s="277">
        <v>198215.15700000001</v>
      </c>
      <c r="L6" s="277">
        <v>184966.78200000001</v>
      </c>
      <c r="M6" s="277">
        <v>0</v>
      </c>
      <c r="N6" s="277">
        <v>0</v>
      </c>
      <c r="O6" s="277">
        <v>0</v>
      </c>
      <c r="P6" s="277">
        <v>0</v>
      </c>
      <c r="Q6" s="277">
        <v>107953.16700000002</v>
      </c>
      <c r="R6" s="277">
        <v>0</v>
      </c>
      <c r="S6" s="277">
        <v>0</v>
      </c>
      <c r="T6" s="277">
        <f t="shared" si="0"/>
        <v>2558409.3780000005</v>
      </c>
    </row>
    <row r="7" spans="2:20" ht="18" customHeight="1" x14ac:dyDescent="0.25">
      <c r="B7" s="275">
        <v>4</v>
      </c>
      <c r="C7" s="276" t="s">
        <v>244</v>
      </c>
      <c r="D7" s="277">
        <v>0</v>
      </c>
      <c r="E7" s="277">
        <v>212090.802</v>
      </c>
      <c r="F7" s="277">
        <v>491562.29850000003</v>
      </c>
      <c r="G7" s="277">
        <v>297322.73550000007</v>
      </c>
      <c r="H7" s="277">
        <v>396430.31400000001</v>
      </c>
      <c r="I7" s="277">
        <v>50445.486000000004</v>
      </c>
      <c r="J7" s="277">
        <v>619422.63600000006</v>
      </c>
      <c r="K7" s="277">
        <v>198215.15700000001</v>
      </c>
      <c r="L7" s="277">
        <v>184966.78200000001</v>
      </c>
      <c r="M7" s="277">
        <v>0</v>
      </c>
      <c r="N7" s="277">
        <v>0</v>
      </c>
      <c r="O7" s="277">
        <v>0</v>
      </c>
      <c r="P7" s="277">
        <v>0</v>
      </c>
      <c r="Q7" s="277">
        <v>107953.16700000002</v>
      </c>
      <c r="R7" s="277">
        <v>0</v>
      </c>
      <c r="S7" s="277">
        <v>0</v>
      </c>
      <c r="T7" s="277">
        <f t="shared" si="0"/>
        <v>2558409.3780000005</v>
      </c>
    </row>
    <row r="8" spans="2:20" ht="18" customHeight="1" x14ac:dyDescent="0.25">
      <c r="B8" s="275">
        <v>5</v>
      </c>
      <c r="C8" s="276" t="s">
        <v>245</v>
      </c>
      <c r="D8" s="277">
        <v>0</v>
      </c>
      <c r="E8" s="277">
        <v>212090.802</v>
      </c>
      <c r="F8" s="277">
        <v>491562.29850000003</v>
      </c>
      <c r="G8" s="277">
        <v>297322.73550000007</v>
      </c>
      <c r="H8" s="277">
        <v>396430.31400000001</v>
      </c>
      <c r="I8" s="277">
        <v>50445.486000000004</v>
      </c>
      <c r="J8" s="277">
        <v>619422.63600000006</v>
      </c>
      <c r="K8" s="277">
        <v>198215.15700000001</v>
      </c>
      <c r="L8" s="277">
        <v>184966.78200000001</v>
      </c>
      <c r="M8" s="277">
        <v>0</v>
      </c>
      <c r="N8" s="277">
        <v>0</v>
      </c>
      <c r="O8" s="277">
        <v>0</v>
      </c>
      <c r="P8" s="277">
        <v>0</v>
      </c>
      <c r="Q8" s="277">
        <v>107953.16700000002</v>
      </c>
      <c r="R8" s="277">
        <v>0</v>
      </c>
      <c r="S8" s="277">
        <v>0</v>
      </c>
      <c r="T8" s="277">
        <f t="shared" si="0"/>
        <v>2558409.3780000005</v>
      </c>
    </row>
    <row r="9" spans="2:20" ht="18" customHeight="1" x14ac:dyDescent="0.25">
      <c r="B9" s="275">
        <v>6</v>
      </c>
      <c r="C9" s="276" t="s">
        <v>246</v>
      </c>
      <c r="D9" s="277">
        <v>0</v>
      </c>
      <c r="E9" s="277">
        <v>212090.802</v>
      </c>
      <c r="F9" s="277">
        <v>491562.29850000003</v>
      </c>
      <c r="G9" s="277">
        <v>297322.73550000007</v>
      </c>
      <c r="H9" s="277">
        <v>396430.31400000001</v>
      </c>
      <c r="I9" s="277">
        <v>50445.486000000004</v>
      </c>
      <c r="J9" s="277">
        <v>619422.63600000006</v>
      </c>
      <c r="K9" s="277">
        <v>198215.15700000001</v>
      </c>
      <c r="L9" s="277">
        <v>184966.78200000001</v>
      </c>
      <c r="M9" s="277">
        <v>0</v>
      </c>
      <c r="N9" s="277">
        <v>0</v>
      </c>
      <c r="O9" s="277">
        <v>0</v>
      </c>
      <c r="P9" s="277">
        <v>0</v>
      </c>
      <c r="Q9" s="277">
        <v>107953.16700000002</v>
      </c>
      <c r="R9" s="277">
        <v>0</v>
      </c>
      <c r="S9" s="277">
        <v>0</v>
      </c>
      <c r="T9" s="277">
        <f t="shared" si="0"/>
        <v>2558409.3780000005</v>
      </c>
    </row>
    <row r="10" spans="2:20" ht="18" customHeight="1" x14ac:dyDescent="0.25">
      <c r="B10" s="275">
        <v>7</v>
      </c>
      <c r="C10" s="276" t="s">
        <v>526</v>
      </c>
      <c r="D10" s="277">
        <v>0</v>
      </c>
      <c r="E10" s="277">
        <v>212090.802</v>
      </c>
      <c r="F10" s="277">
        <v>491562.29850000003</v>
      </c>
      <c r="G10" s="277">
        <v>297322.73550000007</v>
      </c>
      <c r="H10" s="277">
        <v>396430.31400000001</v>
      </c>
      <c r="I10" s="277">
        <v>50445.486000000004</v>
      </c>
      <c r="J10" s="277">
        <v>619422.63600000006</v>
      </c>
      <c r="K10" s="277">
        <v>198215.15700000001</v>
      </c>
      <c r="L10" s="277">
        <v>184966.78200000001</v>
      </c>
      <c r="M10" s="277">
        <v>0</v>
      </c>
      <c r="N10" s="277">
        <v>0</v>
      </c>
      <c r="O10" s="277">
        <v>0</v>
      </c>
      <c r="P10" s="277">
        <v>0</v>
      </c>
      <c r="Q10" s="277">
        <v>0</v>
      </c>
      <c r="R10" s="277">
        <v>0</v>
      </c>
      <c r="S10" s="277">
        <v>0</v>
      </c>
      <c r="T10" s="277">
        <f t="shared" si="0"/>
        <v>2450456.2110000006</v>
      </c>
    </row>
    <row r="11" spans="2:20" ht="18" customHeight="1" x14ac:dyDescent="0.25">
      <c r="B11" s="275">
        <v>8</v>
      </c>
      <c r="C11" s="276" t="s">
        <v>248</v>
      </c>
      <c r="D11" s="277">
        <v>0</v>
      </c>
      <c r="E11" s="277">
        <v>212090.802</v>
      </c>
      <c r="F11" s="277">
        <v>491562.29850000003</v>
      </c>
      <c r="G11" s="277">
        <v>297322.73550000007</v>
      </c>
      <c r="H11" s="277">
        <v>396430.31400000001</v>
      </c>
      <c r="I11" s="277">
        <v>50445.486000000004</v>
      </c>
      <c r="J11" s="277">
        <v>619422.63600000006</v>
      </c>
      <c r="K11" s="277">
        <v>198215.15700000001</v>
      </c>
      <c r="L11" s="277">
        <v>184966.78200000001</v>
      </c>
      <c r="M11" s="277">
        <v>0</v>
      </c>
      <c r="N11" s="277">
        <v>0</v>
      </c>
      <c r="O11" s="277">
        <v>0</v>
      </c>
      <c r="P11" s="277">
        <v>0</v>
      </c>
      <c r="Q11" s="277">
        <v>107953.16700000002</v>
      </c>
      <c r="R11" s="277">
        <v>0</v>
      </c>
      <c r="S11" s="277">
        <v>0</v>
      </c>
      <c r="T11" s="277">
        <f t="shared" si="0"/>
        <v>2558409.3780000005</v>
      </c>
    </row>
    <row r="12" spans="2:20" ht="18" customHeight="1" x14ac:dyDescent="0.25">
      <c r="B12" s="275">
        <v>9</v>
      </c>
      <c r="C12" s="278" t="s">
        <v>249</v>
      </c>
      <c r="D12" s="277">
        <v>0</v>
      </c>
      <c r="E12" s="277">
        <v>212090.802</v>
      </c>
      <c r="F12" s="277">
        <v>491562.29850000003</v>
      </c>
      <c r="G12" s="277">
        <v>297322.73550000007</v>
      </c>
      <c r="H12" s="277">
        <v>396430.31400000001</v>
      </c>
      <c r="I12" s="277">
        <v>50445.486000000004</v>
      </c>
      <c r="J12" s="277">
        <v>619422.63600000006</v>
      </c>
      <c r="K12" s="277">
        <v>198215.15700000001</v>
      </c>
      <c r="L12" s="277">
        <v>184966.78200000001</v>
      </c>
      <c r="M12" s="277">
        <v>0</v>
      </c>
      <c r="N12" s="277">
        <v>0</v>
      </c>
      <c r="O12" s="277">
        <v>0</v>
      </c>
      <c r="P12" s="277">
        <v>0</v>
      </c>
      <c r="Q12" s="277">
        <v>107953.16700000002</v>
      </c>
      <c r="R12" s="277">
        <v>0</v>
      </c>
      <c r="S12" s="277">
        <v>0</v>
      </c>
      <c r="T12" s="277">
        <f t="shared" si="0"/>
        <v>2558409.3780000005</v>
      </c>
    </row>
    <row r="13" spans="2:20" ht="18" customHeight="1" x14ac:dyDescent="0.25">
      <c r="B13" s="275">
        <v>10</v>
      </c>
      <c r="C13" s="276" t="s">
        <v>250</v>
      </c>
      <c r="D13" s="277">
        <v>0</v>
      </c>
      <c r="E13" s="277">
        <v>212090.802</v>
      </c>
      <c r="F13" s="277">
        <v>491562.29850000003</v>
      </c>
      <c r="G13" s="277">
        <v>297322.73550000007</v>
      </c>
      <c r="H13" s="277">
        <v>396430.31400000001</v>
      </c>
      <c r="I13" s="277">
        <v>50445.486000000004</v>
      </c>
      <c r="J13" s="277">
        <v>619422.63600000006</v>
      </c>
      <c r="K13" s="277">
        <v>198215.15700000001</v>
      </c>
      <c r="L13" s="277">
        <v>184966.78200000001</v>
      </c>
      <c r="M13" s="277">
        <v>0</v>
      </c>
      <c r="N13" s="277">
        <v>0</v>
      </c>
      <c r="O13" s="277">
        <v>0</v>
      </c>
      <c r="P13" s="277">
        <v>0</v>
      </c>
      <c r="Q13" s="277">
        <v>107953.16700000002</v>
      </c>
      <c r="R13" s="277">
        <v>0</v>
      </c>
      <c r="S13" s="277">
        <v>0</v>
      </c>
      <c r="T13" s="277">
        <f t="shared" si="0"/>
        <v>2558409.3780000005</v>
      </c>
    </row>
    <row r="14" spans="2:20" ht="18" customHeight="1" x14ac:dyDescent="0.25">
      <c r="B14" s="275">
        <v>11</v>
      </c>
      <c r="C14" s="276" t="s">
        <v>251</v>
      </c>
      <c r="D14" s="277">
        <v>0</v>
      </c>
      <c r="E14" s="277">
        <v>212090.802</v>
      </c>
      <c r="F14" s="277">
        <v>491562.29850000003</v>
      </c>
      <c r="G14" s="277">
        <v>297322.73550000007</v>
      </c>
      <c r="H14" s="277">
        <v>396430.31400000001</v>
      </c>
      <c r="I14" s="277">
        <v>50445.486000000004</v>
      </c>
      <c r="J14" s="277">
        <v>619422.63600000006</v>
      </c>
      <c r="K14" s="277">
        <v>198215.15700000001</v>
      </c>
      <c r="L14" s="277">
        <v>184966.78200000001</v>
      </c>
      <c r="M14" s="277">
        <v>0</v>
      </c>
      <c r="N14" s="277">
        <v>0</v>
      </c>
      <c r="O14" s="277">
        <v>0</v>
      </c>
      <c r="P14" s="277">
        <v>0</v>
      </c>
      <c r="Q14" s="277">
        <v>107953.16700000002</v>
      </c>
      <c r="R14" s="277">
        <v>0</v>
      </c>
      <c r="S14" s="277">
        <v>0</v>
      </c>
      <c r="T14" s="277">
        <f t="shared" si="0"/>
        <v>2558409.3780000005</v>
      </c>
    </row>
    <row r="15" spans="2:20" ht="18" customHeight="1" x14ac:dyDescent="0.25">
      <c r="B15" s="275">
        <v>12</v>
      </c>
      <c r="C15" s="276" t="s">
        <v>252</v>
      </c>
      <c r="D15" s="277">
        <v>0</v>
      </c>
      <c r="E15" s="277">
        <v>212090.802</v>
      </c>
      <c r="F15" s="277">
        <v>491562.29850000003</v>
      </c>
      <c r="G15" s="277">
        <v>297322.73550000007</v>
      </c>
      <c r="H15" s="277">
        <v>396430.31400000001</v>
      </c>
      <c r="I15" s="277">
        <v>50445.486000000004</v>
      </c>
      <c r="J15" s="277">
        <v>619422.63600000006</v>
      </c>
      <c r="K15" s="277">
        <v>198215.15700000001</v>
      </c>
      <c r="L15" s="277">
        <v>184966.78200000001</v>
      </c>
      <c r="M15" s="277">
        <v>0</v>
      </c>
      <c r="N15" s="277">
        <v>0</v>
      </c>
      <c r="O15" s="277">
        <v>0</v>
      </c>
      <c r="P15" s="277">
        <v>0</v>
      </c>
      <c r="Q15" s="277">
        <v>107953.16700000002</v>
      </c>
      <c r="R15" s="277">
        <v>0</v>
      </c>
      <c r="S15" s="277">
        <v>0</v>
      </c>
      <c r="T15" s="277">
        <f t="shared" si="0"/>
        <v>2558409.3780000005</v>
      </c>
    </row>
    <row r="16" spans="2:20" ht="18" customHeight="1" x14ac:dyDescent="0.25">
      <c r="B16" s="275">
        <v>13</v>
      </c>
      <c r="C16" s="276" t="s">
        <v>253</v>
      </c>
      <c r="D16" s="277">
        <v>0</v>
      </c>
      <c r="E16" s="277">
        <v>212090.802</v>
      </c>
      <c r="F16" s="277">
        <v>491562.29850000003</v>
      </c>
      <c r="G16" s="277">
        <v>297322.73550000007</v>
      </c>
      <c r="H16" s="277">
        <v>396430.31400000001</v>
      </c>
      <c r="I16" s="277">
        <v>50445.486000000004</v>
      </c>
      <c r="J16" s="277">
        <v>619422.63600000006</v>
      </c>
      <c r="K16" s="277">
        <v>198215.15700000001</v>
      </c>
      <c r="L16" s="277">
        <v>184966.78200000001</v>
      </c>
      <c r="M16" s="277">
        <v>0</v>
      </c>
      <c r="N16" s="277">
        <v>0</v>
      </c>
      <c r="O16" s="277">
        <v>0</v>
      </c>
      <c r="P16" s="277">
        <v>0</v>
      </c>
      <c r="Q16" s="277">
        <v>107953.16700000002</v>
      </c>
      <c r="R16" s="277">
        <v>0</v>
      </c>
      <c r="S16" s="277">
        <v>0</v>
      </c>
      <c r="T16" s="277">
        <f t="shared" si="0"/>
        <v>2558409.3780000005</v>
      </c>
    </row>
    <row r="17" spans="2:20" ht="18" customHeight="1" x14ac:dyDescent="0.25">
      <c r="B17" s="275">
        <v>14</v>
      </c>
      <c r="C17" s="278" t="s">
        <v>254</v>
      </c>
      <c r="D17" s="277">
        <v>0</v>
      </c>
      <c r="E17" s="277">
        <v>212090.802</v>
      </c>
      <c r="F17" s="277">
        <v>491562.29850000003</v>
      </c>
      <c r="G17" s="277">
        <v>297322.73550000007</v>
      </c>
      <c r="H17" s="277">
        <v>396430.31400000001</v>
      </c>
      <c r="I17" s="277">
        <v>50445.486000000004</v>
      </c>
      <c r="J17" s="277">
        <v>619422.63600000006</v>
      </c>
      <c r="K17" s="277">
        <v>198215.15700000001</v>
      </c>
      <c r="L17" s="277">
        <v>184966.78200000001</v>
      </c>
      <c r="M17" s="277">
        <v>0</v>
      </c>
      <c r="N17" s="277">
        <v>0</v>
      </c>
      <c r="O17" s="277">
        <v>0</v>
      </c>
      <c r="P17" s="277">
        <v>0</v>
      </c>
      <c r="Q17" s="277">
        <v>107953.16700000002</v>
      </c>
      <c r="R17" s="277">
        <v>0</v>
      </c>
      <c r="S17" s="277">
        <v>0</v>
      </c>
      <c r="T17" s="277">
        <f t="shared" si="0"/>
        <v>2558409.3780000005</v>
      </c>
    </row>
    <row r="18" spans="2:20" ht="18" customHeight="1" x14ac:dyDescent="0.25">
      <c r="B18" s="275">
        <v>15</v>
      </c>
      <c r="C18" s="276" t="s">
        <v>255</v>
      </c>
      <c r="D18" s="277">
        <v>0</v>
      </c>
      <c r="E18" s="277">
        <v>212090.802</v>
      </c>
      <c r="F18" s="277">
        <v>491562.29850000003</v>
      </c>
      <c r="G18" s="277">
        <v>297322.73550000007</v>
      </c>
      <c r="H18" s="277">
        <v>396430.31400000001</v>
      </c>
      <c r="I18" s="277">
        <v>50445.486000000004</v>
      </c>
      <c r="J18" s="277">
        <v>619422.63600000006</v>
      </c>
      <c r="K18" s="277">
        <v>198215.15700000001</v>
      </c>
      <c r="L18" s="277">
        <v>184966.78200000001</v>
      </c>
      <c r="M18" s="277">
        <v>0</v>
      </c>
      <c r="N18" s="277">
        <v>0</v>
      </c>
      <c r="O18" s="277">
        <v>0</v>
      </c>
      <c r="P18" s="277">
        <v>0</v>
      </c>
      <c r="Q18" s="277">
        <v>107953.16700000002</v>
      </c>
      <c r="R18" s="277">
        <v>0</v>
      </c>
      <c r="S18" s="277">
        <v>0</v>
      </c>
      <c r="T18" s="277">
        <f t="shared" si="0"/>
        <v>2558409.3780000005</v>
      </c>
    </row>
    <row r="19" spans="2:20" ht="18" customHeight="1" x14ac:dyDescent="0.25">
      <c r="B19" s="275">
        <v>16</v>
      </c>
      <c r="C19" s="276" t="s">
        <v>256</v>
      </c>
      <c r="D19" s="277">
        <v>0</v>
      </c>
      <c r="E19" s="277">
        <v>212090.802</v>
      </c>
      <c r="F19" s="277">
        <v>491562.29850000003</v>
      </c>
      <c r="G19" s="277">
        <v>297322.73550000007</v>
      </c>
      <c r="H19" s="277">
        <v>396430.31400000001</v>
      </c>
      <c r="I19" s="277">
        <v>50445.486000000004</v>
      </c>
      <c r="J19" s="277">
        <v>619422.63600000006</v>
      </c>
      <c r="K19" s="277">
        <v>198215.15700000001</v>
      </c>
      <c r="L19" s="277">
        <v>184966.78200000001</v>
      </c>
      <c r="M19" s="277">
        <v>0</v>
      </c>
      <c r="N19" s="277">
        <v>0</v>
      </c>
      <c r="O19" s="277">
        <v>0</v>
      </c>
      <c r="P19" s="277">
        <v>0</v>
      </c>
      <c r="Q19" s="277">
        <v>107953.16700000002</v>
      </c>
      <c r="R19" s="277">
        <v>0</v>
      </c>
      <c r="S19" s="277">
        <v>0</v>
      </c>
      <c r="T19" s="277">
        <f t="shared" si="0"/>
        <v>2558409.3780000005</v>
      </c>
    </row>
    <row r="20" spans="2:20" ht="18" customHeight="1" x14ac:dyDescent="0.25">
      <c r="B20" s="275">
        <v>17</v>
      </c>
      <c r="C20" s="276" t="s">
        <v>257</v>
      </c>
      <c r="D20" s="277">
        <v>0</v>
      </c>
      <c r="E20" s="277">
        <v>212090.802</v>
      </c>
      <c r="F20" s="277">
        <v>491562.29850000003</v>
      </c>
      <c r="G20" s="277">
        <v>297322.73550000007</v>
      </c>
      <c r="H20" s="277">
        <v>396430.31400000001</v>
      </c>
      <c r="I20" s="277">
        <v>50445.486000000004</v>
      </c>
      <c r="J20" s="277">
        <v>619422.63600000006</v>
      </c>
      <c r="K20" s="277">
        <v>198215.15700000001</v>
      </c>
      <c r="L20" s="277">
        <v>184966.78200000001</v>
      </c>
      <c r="M20" s="277">
        <v>0</v>
      </c>
      <c r="N20" s="277">
        <v>0</v>
      </c>
      <c r="O20" s="277">
        <v>0</v>
      </c>
      <c r="P20" s="277">
        <v>0</v>
      </c>
      <c r="Q20" s="277">
        <v>107953.16700000002</v>
      </c>
      <c r="R20" s="277">
        <v>0</v>
      </c>
      <c r="S20" s="277">
        <v>0</v>
      </c>
      <c r="T20" s="277">
        <f t="shared" si="0"/>
        <v>2558409.3780000005</v>
      </c>
    </row>
    <row r="21" spans="2:20" ht="18" customHeight="1" x14ac:dyDescent="0.25">
      <c r="B21" s="275">
        <v>18</v>
      </c>
      <c r="C21" s="276" t="s">
        <v>258</v>
      </c>
      <c r="D21" s="277">
        <v>0</v>
      </c>
      <c r="E21" s="277">
        <v>212090.802</v>
      </c>
      <c r="F21" s="277">
        <v>491562.29850000003</v>
      </c>
      <c r="G21" s="277">
        <v>297322.73550000007</v>
      </c>
      <c r="H21" s="277">
        <v>396430.31400000001</v>
      </c>
      <c r="I21" s="277">
        <v>50445.486000000004</v>
      </c>
      <c r="J21" s="277">
        <v>619422.63600000006</v>
      </c>
      <c r="K21" s="277">
        <v>198215.15700000001</v>
      </c>
      <c r="L21" s="277">
        <v>184966.78200000001</v>
      </c>
      <c r="M21" s="277">
        <v>0</v>
      </c>
      <c r="N21" s="277">
        <v>0</v>
      </c>
      <c r="O21" s="277">
        <v>0</v>
      </c>
      <c r="P21" s="277">
        <v>0</v>
      </c>
      <c r="Q21" s="277">
        <v>107953.16700000002</v>
      </c>
      <c r="R21" s="277">
        <v>0</v>
      </c>
      <c r="S21" s="277">
        <v>0</v>
      </c>
      <c r="T21" s="277">
        <f t="shared" si="0"/>
        <v>2558409.3780000005</v>
      </c>
    </row>
    <row r="22" spans="2:20" ht="18" customHeight="1" x14ac:dyDescent="0.25">
      <c r="B22" s="275">
        <v>19</v>
      </c>
      <c r="C22" s="276" t="s">
        <v>259</v>
      </c>
      <c r="D22" s="277">
        <v>161929.75050000002</v>
      </c>
      <c r="E22" s="277">
        <v>212090.802</v>
      </c>
      <c r="F22" s="277">
        <v>491562.29850000003</v>
      </c>
      <c r="G22" s="277">
        <v>297322.73550000007</v>
      </c>
      <c r="H22" s="277">
        <v>396430.31400000001</v>
      </c>
      <c r="I22" s="277">
        <v>50445.486000000004</v>
      </c>
      <c r="J22" s="277">
        <v>619422.63600000006</v>
      </c>
      <c r="K22" s="277">
        <v>198215.15700000001</v>
      </c>
      <c r="L22" s="277">
        <v>184966.78200000001</v>
      </c>
      <c r="M22" s="277">
        <v>2477690.5440000002</v>
      </c>
      <c r="N22" s="277">
        <v>4203789.4185000006</v>
      </c>
      <c r="O22" s="277">
        <v>743307.37950000004</v>
      </c>
      <c r="P22" s="277">
        <v>1189292.0234999999</v>
      </c>
      <c r="Q22" s="277">
        <v>107953.16700000002</v>
      </c>
      <c r="R22" s="277">
        <v>0</v>
      </c>
      <c r="S22" s="277">
        <v>504454.86</v>
      </c>
      <c r="T22" s="277">
        <f t="shared" si="0"/>
        <v>11838873.354</v>
      </c>
    </row>
    <row r="23" spans="2:20" ht="18" customHeight="1" x14ac:dyDescent="0.25">
      <c r="B23" s="275">
        <v>20</v>
      </c>
      <c r="C23" s="276" t="s">
        <v>260</v>
      </c>
      <c r="D23" s="277">
        <v>0</v>
      </c>
      <c r="E23" s="277">
        <v>212090.802</v>
      </c>
      <c r="F23" s="277">
        <v>491562.29850000003</v>
      </c>
      <c r="G23" s="277">
        <v>297322.73550000007</v>
      </c>
      <c r="H23" s="277">
        <v>396430.31400000001</v>
      </c>
      <c r="I23" s="277">
        <v>50445.486000000004</v>
      </c>
      <c r="J23" s="277">
        <v>619422.63600000006</v>
      </c>
      <c r="K23" s="277">
        <v>198215.15700000001</v>
      </c>
      <c r="L23" s="277">
        <v>184966.78200000001</v>
      </c>
      <c r="M23" s="277">
        <v>0</v>
      </c>
      <c r="N23" s="277">
        <v>0</v>
      </c>
      <c r="O23" s="277">
        <v>0</v>
      </c>
      <c r="P23" s="277">
        <v>0</v>
      </c>
      <c r="Q23" s="277">
        <v>107953.16700000002</v>
      </c>
      <c r="R23" s="277">
        <v>0</v>
      </c>
      <c r="S23" s="277">
        <v>0</v>
      </c>
      <c r="T23" s="277">
        <f t="shared" si="0"/>
        <v>2558409.3780000005</v>
      </c>
    </row>
    <row r="24" spans="2:20" ht="18" customHeight="1" x14ac:dyDescent="0.25">
      <c r="B24" s="275">
        <v>21</v>
      </c>
      <c r="C24" s="276" t="s">
        <v>261</v>
      </c>
      <c r="D24" s="277">
        <v>0</v>
      </c>
      <c r="E24" s="277">
        <v>212090.802</v>
      </c>
      <c r="F24" s="277">
        <v>491562.29850000003</v>
      </c>
      <c r="G24" s="277">
        <v>297322.73550000007</v>
      </c>
      <c r="H24" s="277">
        <v>396430.31400000001</v>
      </c>
      <c r="I24" s="277">
        <v>50445.486000000004</v>
      </c>
      <c r="J24" s="277">
        <v>619422.63600000006</v>
      </c>
      <c r="K24" s="277">
        <v>198215.15700000001</v>
      </c>
      <c r="L24" s="277">
        <v>184966.78200000001</v>
      </c>
      <c r="M24" s="277">
        <v>0</v>
      </c>
      <c r="N24" s="277">
        <v>0</v>
      </c>
      <c r="O24" s="277">
        <v>0</v>
      </c>
      <c r="P24" s="277">
        <v>0</v>
      </c>
      <c r="Q24" s="277">
        <v>107953.16700000002</v>
      </c>
      <c r="R24" s="277">
        <v>0</v>
      </c>
      <c r="S24" s="277">
        <v>0</v>
      </c>
      <c r="T24" s="277">
        <f t="shared" si="0"/>
        <v>2558409.3780000005</v>
      </c>
    </row>
    <row r="25" spans="2:20" ht="18" customHeight="1" x14ac:dyDescent="0.25">
      <c r="B25" s="275">
        <v>22</v>
      </c>
      <c r="C25" s="276" t="s">
        <v>262</v>
      </c>
      <c r="D25" s="277">
        <v>0</v>
      </c>
      <c r="E25" s="277">
        <v>212090.802</v>
      </c>
      <c r="F25" s="277">
        <v>491562.29850000003</v>
      </c>
      <c r="G25" s="277">
        <v>297322.73550000007</v>
      </c>
      <c r="H25" s="277">
        <v>396430.31400000001</v>
      </c>
      <c r="I25" s="277">
        <v>50445.486000000004</v>
      </c>
      <c r="J25" s="277">
        <v>619422.63600000006</v>
      </c>
      <c r="K25" s="277">
        <v>198215.15700000001</v>
      </c>
      <c r="L25" s="277">
        <v>184966.78200000001</v>
      </c>
      <c r="M25" s="277">
        <v>0</v>
      </c>
      <c r="N25" s="277">
        <v>0</v>
      </c>
      <c r="O25" s="277">
        <v>0</v>
      </c>
      <c r="P25" s="277">
        <v>0</v>
      </c>
      <c r="Q25" s="277">
        <v>107953.16700000002</v>
      </c>
      <c r="R25" s="277">
        <v>0</v>
      </c>
      <c r="S25" s="277">
        <v>0</v>
      </c>
      <c r="T25" s="277">
        <f t="shared" si="0"/>
        <v>2558409.3780000005</v>
      </c>
    </row>
    <row r="26" spans="2:20" ht="18" customHeight="1" x14ac:dyDescent="0.25">
      <c r="B26" s="275">
        <v>23</v>
      </c>
      <c r="C26" s="276" t="s">
        <v>263</v>
      </c>
      <c r="D26" s="277">
        <v>0</v>
      </c>
      <c r="E26" s="277">
        <v>212090.802</v>
      </c>
      <c r="F26" s="277">
        <v>491562.29850000003</v>
      </c>
      <c r="G26" s="277">
        <v>297322.73550000007</v>
      </c>
      <c r="H26" s="277">
        <v>396430.31400000001</v>
      </c>
      <c r="I26" s="277">
        <v>50445.486000000004</v>
      </c>
      <c r="J26" s="277">
        <v>619422.63600000006</v>
      </c>
      <c r="K26" s="277">
        <v>198215.15700000001</v>
      </c>
      <c r="L26" s="277">
        <v>184966.78200000001</v>
      </c>
      <c r="M26" s="277">
        <v>0</v>
      </c>
      <c r="N26" s="277">
        <v>0</v>
      </c>
      <c r="O26" s="277">
        <v>0</v>
      </c>
      <c r="P26" s="277">
        <v>0</v>
      </c>
      <c r="Q26" s="277">
        <v>107953.16700000002</v>
      </c>
      <c r="R26" s="277">
        <v>0</v>
      </c>
      <c r="S26" s="277">
        <v>0</v>
      </c>
      <c r="T26" s="277">
        <f t="shared" si="0"/>
        <v>2558409.3780000005</v>
      </c>
    </row>
    <row r="27" spans="2:20" ht="18" customHeight="1" x14ac:dyDescent="0.25">
      <c r="B27" s="275">
        <v>24</v>
      </c>
      <c r="C27" s="276" t="s">
        <v>264</v>
      </c>
      <c r="D27" s="277">
        <v>0</v>
      </c>
      <c r="E27" s="277">
        <v>212090.802</v>
      </c>
      <c r="F27" s="277">
        <v>491562.29850000003</v>
      </c>
      <c r="G27" s="277">
        <v>297322.73550000007</v>
      </c>
      <c r="H27" s="277">
        <v>396430.31400000001</v>
      </c>
      <c r="I27" s="277">
        <v>50445.486000000004</v>
      </c>
      <c r="J27" s="277">
        <v>619422.63600000006</v>
      </c>
      <c r="K27" s="277">
        <v>198215.15700000001</v>
      </c>
      <c r="L27" s="277">
        <v>184966.78200000001</v>
      </c>
      <c r="M27" s="277">
        <v>0</v>
      </c>
      <c r="N27" s="277">
        <v>0</v>
      </c>
      <c r="O27" s="277">
        <v>0</v>
      </c>
      <c r="P27" s="277">
        <v>0</v>
      </c>
      <c r="Q27" s="277">
        <v>107953.16700000002</v>
      </c>
      <c r="R27" s="277">
        <v>0</v>
      </c>
      <c r="S27" s="277">
        <v>0</v>
      </c>
      <c r="T27" s="277">
        <f t="shared" si="0"/>
        <v>2558409.3780000005</v>
      </c>
    </row>
    <row r="28" spans="2:20" ht="18" customHeight="1" x14ac:dyDescent="0.25">
      <c r="B28" s="275">
        <v>25</v>
      </c>
      <c r="C28" s="276" t="s">
        <v>265</v>
      </c>
      <c r="D28" s="277">
        <v>161929.75050000002</v>
      </c>
      <c r="E28" s="277">
        <v>212090.802</v>
      </c>
      <c r="F28" s="277">
        <v>491562.29850000003</v>
      </c>
      <c r="G28" s="277">
        <v>297322.73550000007</v>
      </c>
      <c r="H28" s="277">
        <v>396430.31400000001</v>
      </c>
      <c r="I28" s="277">
        <v>50445.486000000004</v>
      </c>
      <c r="J28" s="277">
        <v>619422.63600000006</v>
      </c>
      <c r="K28" s="277">
        <v>198215.15700000001</v>
      </c>
      <c r="L28" s="277">
        <v>184966.78200000001</v>
      </c>
      <c r="M28" s="277">
        <v>2477690.5440000002</v>
      </c>
      <c r="N28" s="277">
        <v>4203789.4185000006</v>
      </c>
      <c r="O28" s="277">
        <v>743307.37950000004</v>
      </c>
      <c r="P28" s="277">
        <v>1189292.0234999999</v>
      </c>
      <c r="Q28" s="277">
        <v>107953.16700000002</v>
      </c>
      <c r="R28" s="277">
        <v>588530.67000000004</v>
      </c>
      <c r="S28" s="277">
        <v>504454.86</v>
      </c>
      <c r="T28" s="277">
        <f t="shared" si="0"/>
        <v>12427404.024</v>
      </c>
    </row>
    <row r="29" spans="2:20" ht="18" customHeight="1" x14ac:dyDescent="0.25">
      <c r="B29" s="275">
        <v>26</v>
      </c>
      <c r="C29" s="276" t="s">
        <v>266</v>
      </c>
      <c r="D29" s="277">
        <v>0</v>
      </c>
      <c r="E29" s="277">
        <v>212090.802</v>
      </c>
      <c r="F29" s="277">
        <v>491562.29850000003</v>
      </c>
      <c r="G29" s="277">
        <v>297322.73550000007</v>
      </c>
      <c r="H29" s="277">
        <v>396430.31400000001</v>
      </c>
      <c r="I29" s="277">
        <v>50445.486000000004</v>
      </c>
      <c r="J29" s="277">
        <v>619422.63600000006</v>
      </c>
      <c r="K29" s="277">
        <v>198215.15700000001</v>
      </c>
      <c r="L29" s="277">
        <v>184966.78200000001</v>
      </c>
      <c r="M29" s="277">
        <v>0</v>
      </c>
      <c r="N29" s="277">
        <v>0</v>
      </c>
      <c r="O29" s="277">
        <v>0</v>
      </c>
      <c r="P29" s="277">
        <v>0</v>
      </c>
      <c r="Q29" s="277">
        <v>107953.16700000002</v>
      </c>
      <c r="R29" s="277">
        <v>0</v>
      </c>
      <c r="S29" s="277">
        <v>0</v>
      </c>
      <c r="T29" s="277">
        <f t="shared" si="0"/>
        <v>2558409.3780000005</v>
      </c>
    </row>
    <row r="30" spans="2:20" ht="18" customHeight="1" x14ac:dyDescent="0.25">
      <c r="B30" s="275">
        <v>27</v>
      </c>
      <c r="C30" s="276" t="s">
        <v>267</v>
      </c>
      <c r="D30" s="277">
        <v>0</v>
      </c>
      <c r="E30" s="277">
        <v>212090.802</v>
      </c>
      <c r="F30" s="277">
        <v>491562.29850000003</v>
      </c>
      <c r="G30" s="277">
        <v>297322.73550000007</v>
      </c>
      <c r="H30" s="277">
        <v>396430.31400000001</v>
      </c>
      <c r="I30" s="277">
        <v>50445.486000000004</v>
      </c>
      <c r="J30" s="277">
        <v>619422.63600000006</v>
      </c>
      <c r="K30" s="277">
        <v>198215.15700000001</v>
      </c>
      <c r="L30" s="277">
        <v>184966.78200000001</v>
      </c>
      <c r="M30" s="277">
        <v>0</v>
      </c>
      <c r="N30" s="277">
        <v>0</v>
      </c>
      <c r="O30" s="277">
        <v>0</v>
      </c>
      <c r="P30" s="277">
        <v>0</v>
      </c>
      <c r="Q30" s="277">
        <v>107953.16700000002</v>
      </c>
      <c r="R30" s="277">
        <v>0</v>
      </c>
      <c r="S30" s="277">
        <v>0</v>
      </c>
      <c r="T30" s="277">
        <f t="shared" si="0"/>
        <v>2558409.3780000005</v>
      </c>
    </row>
    <row r="31" spans="2:20" ht="18" customHeight="1" x14ac:dyDescent="0.25">
      <c r="B31" s="275">
        <v>28</v>
      </c>
      <c r="C31" s="276" t="s">
        <v>268</v>
      </c>
      <c r="D31" s="277">
        <v>0</v>
      </c>
      <c r="E31" s="277">
        <v>212090.802</v>
      </c>
      <c r="F31" s="277">
        <v>491562.29850000003</v>
      </c>
      <c r="G31" s="277">
        <v>297322.73550000007</v>
      </c>
      <c r="H31" s="277">
        <v>396430.31400000001</v>
      </c>
      <c r="I31" s="277">
        <v>50445.486000000004</v>
      </c>
      <c r="J31" s="277">
        <v>619422.63600000006</v>
      </c>
      <c r="K31" s="277">
        <v>198215.15700000001</v>
      </c>
      <c r="L31" s="277">
        <v>184966.78200000001</v>
      </c>
      <c r="M31" s="277">
        <v>0</v>
      </c>
      <c r="N31" s="277">
        <v>0</v>
      </c>
      <c r="O31" s="277">
        <v>0</v>
      </c>
      <c r="P31" s="277">
        <v>0</v>
      </c>
      <c r="Q31" s="277">
        <v>107953.16700000002</v>
      </c>
      <c r="R31" s="277">
        <v>0</v>
      </c>
      <c r="S31" s="277">
        <v>0</v>
      </c>
      <c r="T31" s="277">
        <f t="shared" si="0"/>
        <v>2558409.3780000005</v>
      </c>
    </row>
    <row r="32" spans="2:20" ht="18" customHeight="1" x14ac:dyDescent="0.25">
      <c r="B32" s="275">
        <v>29</v>
      </c>
      <c r="C32" s="276" t="s">
        <v>269</v>
      </c>
      <c r="D32" s="277">
        <v>0</v>
      </c>
      <c r="E32" s="277">
        <v>212090.802</v>
      </c>
      <c r="F32" s="277">
        <v>491562.29850000003</v>
      </c>
      <c r="G32" s="277">
        <v>297322.73550000007</v>
      </c>
      <c r="H32" s="277">
        <v>396430.31400000001</v>
      </c>
      <c r="I32" s="277">
        <v>50445.486000000004</v>
      </c>
      <c r="J32" s="277">
        <v>619422.63600000006</v>
      </c>
      <c r="K32" s="277">
        <v>198215.15700000001</v>
      </c>
      <c r="L32" s="277">
        <v>184966.78200000001</v>
      </c>
      <c r="M32" s="277">
        <v>0</v>
      </c>
      <c r="N32" s="277">
        <v>0</v>
      </c>
      <c r="O32" s="277">
        <v>0</v>
      </c>
      <c r="P32" s="277">
        <v>0</v>
      </c>
      <c r="Q32" s="277">
        <v>107953.16700000002</v>
      </c>
      <c r="R32" s="277">
        <v>0</v>
      </c>
      <c r="S32" s="277">
        <v>0</v>
      </c>
      <c r="T32" s="277">
        <f t="shared" si="0"/>
        <v>2558409.3780000005</v>
      </c>
    </row>
    <row r="33" spans="2:20" ht="18" customHeight="1" x14ac:dyDescent="0.25">
      <c r="B33" s="275">
        <v>30</v>
      </c>
      <c r="C33" s="276" t="s">
        <v>270</v>
      </c>
      <c r="D33" s="277">
        <v>0</v>
      </c>
      <c r="E33" s="277">
        <v>212090.802</v>
      </c>
      <c r="F33" s="277">
        <v>491562.29850000003</v>
      </c>
      <c r="G33" s="277">
        <v>297322.73550000007</v>
      </c>
      <c r="H33" s="277">
        <v>396430.31400000001</v>
      </c>
      <c r="I33" s="277">
        <v>50445.486000000004</v>
      </c>
      <c r="J33" s="277">
        <v>619422.63600000006</v>
      </c>
      <c r="K33" s="277">
        <v>198215.15700000001</v>
      </c>
      <c r="L33" s="277">
        <v>184966.78200000001</v>
      </c>
      <c r="M33" s="277">
        <v>0</v>
      </c>
      <c r="N33" s="277">
        <v>0</v>
      </c>
      <c r="O33" s="277">
        <v>0</v>
      </c>
      <c r="P33" s="277">
        <v>0</v>
      </c>
      <c r="Q33" s="277">
        <v>107953.16700000002</v>
      </c>
      <c r="R33" s="277">
        <v>0</v>
      </c>
      <c r="S33" s="277">
        <v>0</v>
      </c>
      <c r="T33" s="277">
        <f t="shared" si="0"/>
        <v>2558409.3780000005</v>
      </c>
    </row>
    <row r="34" spans="2:20" ht="18" customHeight="1" x14ac:dyDescent="0.25">
      <c r="B34" s="275">
        <v>31</v>
      </c>
      <c r="C34" s="276" t="s">
        <v>271</v>
      </c>
      <c r="D34" s="277">
        <v>0</v>
      </c>
      <c r="E34" s="277">
        <v>212090.802</v>
      </c>
      <c r="F34" s="277">
        <v>491562.29850000003</v>
      </c>
      <c r="G34" s="277">
        <v>297322.73550000007</v>
      </c>
      <c r="H34" s="277">
        <v>396430.31400000001</v>
      </c>
      <c r="I34" s="277">
        <v>50445.486000000004</v>
      </c>
      <c r="J34" s="277">
        <v>619422.63600000006</v>
      </c>
      <c r="K34" s="277">
        <v>198215.15700000001</v>
      </c>
      <c r="L34" s="277">
        <v>184966.78200000001</v>
      </c>
      <c r="M34" s="277">
        <v>0</v>
      </c>
      <c r="N34" s="277">
        <v>0</v>
      </c>
      <c r="O34" s="277">
        <v>0</v>
      </c>
      <c r="P34" s="277">
        <v>0</v>
      </c>
      <c r="Q34" s="277">
        <v>107953.16700000002</v>
      </c>
      <c r="R34" s="277">
        <v>0</v>
      </c>
      <c r="S34" s="277">
        <v>0</v>
      </c>
      <c r="T34" s="277">
        <f t="shared" si="0"/>
        <v>2558409.3780000005</v>
      </c>
    </row>
    <row r="35" spans="2:20" ht="18" customHeight="1" x14ac:dyDescent="0.25">
      <c r="B35" s="652"/>
      <c r="C35" s="653"/>
      <c r="D35" s="654"/>
      <c r="E35" s="654"/>
      <c r="F35" s="654"/>
      <c r="G35" s="654"/>
      <c r="H35" s="654"/>
      <c r="I35" s="654"/>
      <c r="J35" s="654"/>
      <c r="K35" s="654"/>
      <c r="L35" s="654"/>
      <c r="M35" s="654"/>
      <c r="N35" s="654"/>
      <c r="O35" s="654"/>
      <c r="P35" s="654"/>
      <c r="Q35" s="654"/>
      <c r="R35" s="654"/>
      <c r="S35" s="654"/>
      <c r="T35" s="654"/>
    </row>
    <row r="36" spans="2:20" ht="18" customHeight="1" x14ac:dyDescent="0.25">
      <c r="B36" s="655"/>
      <c r="C36" s="656"/>
      <c r="D36" s="657"/>
      <c r="E36" s="657"/>
      <c r="F36" s="657"/>
      <c r="G36" s="657"/>
      <c r="H36" s="657"/>
      <c r="I36" s="657"/>
      <c r="J36" s="657"/>
      <c r="K36" s="657"/>
      <c r="L36" s="657"/>
      <c r="M36" s="657"/>
      <c r="N36" s="657"/>
      <c r="O36" s="657"/>
      <c r="P36" s="657"/>
      <c r="Q36" s="657"/>
      <c r="R36" s="657"/>
      <c r="S36" s="657"/>
      <c r="T36" s="657"/>
    </row>
    <row r="37" spans="2:20" ht="18" customHeight="1" x14ac:dyDescent="0.25">
      <c r="B37" s="655"/>
      <c r="C37" s="656"/>
      <c r="D37" s="657"/>
      <c r="E37" s="657"/>
      <c r="F37" s="657"/>
      <c r="G37" s="657"/>
      <c r="H37" s="657"/>
      <c r="I37" s="657"/>
      <c r="J37" s="657"/>
      <c r="K37" s="657"/>
      <c r="L37" s="657"/>
      <c r="M37" s="657"/>
      <c r="N37" s="657"/>
      <c r="O37" s="657"/>
      <c r="P37" s="657"/>
      <c r="Q37" s="657"/>
      <c r="R37" s="657"/>
      <c r="S37" s="657"/>
      <c r="T37" s="658"/>
    </row>
    <row r="38" spans="2:20" ht="18" customHeight="1" x14ac:dyDescent="0.25">
      <c r="B38" s="644">
        <v>32</v>
      </c>
      <c r="C38" s="645" t="s">
        <v>272</v>
      </c>
      <c r="D38" s="646">
        <v>0</v>
      </c>
      <c r="E38" s="646">
        <v>212090.802</v>
      </c>
      <c r="F38" s="646">
        <v>491562.29850000003</v>
      </c>
      <c r="G38" s="646">
        <v>297322.73550000007</v>
      </c>
      <c r="H38" s="646">
        <v>396430.31400000001</v>
      </c>
      <c r="I38" s="646">
        <v>50445.486000000004</v>
      </c>
      <c r="J38" s="646">
        <v>619422.63600000006</v>
      </c>
      <c r="K38" s="646">
        <v>198215.15700000001</v>
      </c>
      <c r="L38" s="646">
        <v>184966.78200000001</v>
      </c>
      <c r="M38" s="646">
        <v>0</v>
      </c>
      <c r="N38" s="646">
        <v>0</v>
      </c>
      <c r="O38" s="646">
        <v>0</v>
      </c>
      <c r="P38" s="646">
        <v>0</v>
      </c>
      <c r="Q38" s="646">
        <v>107953.16700000002</v>
      </c>
      <c r="R38" s="646">
        <v>0</v>
      </c>
      <c r="S38" s="646">
        <v>0</v>
      </c>
      <c r="T38" s="646">
        <f t="shared" si="0"/>
        <v>2558409.3780000005</v>
      </c>
    </row>
    <row r="39" spans="2:20" ht="18" customHeight="1" x14ac:dyDescent="0.25">
      <c r="B39" s="644">
        <v>33</v>
      </c>
      <c r="C39" s="645" t="s">
        <v>273</v>
      </c>
      <c r="D39" s="646">
        <v>0</v>
      </c>
      <c r="E39" s="646">
        <v>212090.802</v>
      </c>
      <c r="F39" s="646">
        <v>491562.29850000003</v>
      </c>
      <c r="G39" s="646">
        <v>297322.73550000007</v>
      </c>
      <c r="H39" s="646">
        <v>396430.31400000001</v>
      </c>
      <c r="I39" s="646">
        <v>50445.486000000004</v>
      </c>
      <c r="J39" s="646">
        <v>619422.63600000006</v>
      </c>
      <c r="K39" s="646">
        <v>198215.15700000001</v>
      </c>
      <c r="L39" s="646">
        <v>184966.78200000001</v>
      </c>
      <c r="M39" s="646">
        <v>0</v>
      </c>
      <c r="N39" s="646">
        <v>0</v>
      </c>
      <c r="O39" s="646">
        <v>0</v>
      </c>
      <c r="P39" s="646">
        <v>0</v>
      </c>
      <c r="Q39" s="646">
        <v>107953.16700000002</v>
      </c>
      <c r="R39" s="646">
        <v>0</v>
      </c>
      <c r="S39" s="646">
        <v>0</v>
      </c>
      <c r="T39" s="646">
        <f t="shared" si="0"/>
        <v>2558409.3780000005</v>
      </c>
    </row>
    <row r="40" spans="2:20" ht="18" customHeight="1" x14ac:dyDescent="0.25">
      <c r="B40" s="644">
        <v>34</v>
      </c>
      <c r="C40" s="645" t="s">
        <v>274</v>
      </c>
      <c r="D40" s="646">
        <v>0</v>
      </c>
      <c r="E40" s="646">
        <v>212090.802</v>
      </c>
      <c r="F40" s="646">
        <v>491562.29850000003</v>
      </c>
      <c r="G40" s="646">
        <v>297322.73550000007</v>
      </c>
      <c r="H40" s="646">
        <v>396430.31400000001</v>
      </c>
      <c r="I40" s="646">
        <v>50445.486000000004</v>
      </c>
      <c r="J40" s="646">
        <v>619422.63600000006</v>
      </c>
      <c r="K40" s="646">
        <v>198215.15700000001</v>
      </c>
      <c r="L40" s="646">
        <v>184966.78200000001</v>
      </c>
      <c r="M40" s="646">
        <v>0</v>
      </c>
      <c r="N40" s="646">
        <v>0</v>
      </c>
      <c r="O40" s="646">
        <v>0</v>
      </c>
      <c r="P40" s="646">
        <v>0</v>
      </c>
      <c r="Q40" s="646">
        <v>107953.16700000002</v>
      </c>
      <c r="R40" s="646">
        <v>0</v>
      </c>
      <c r="S40" s="646">
        <v>0</v>
      </c>
      <c r="T40" s="646">
        <f t="shared" si="0"/>
        <v>2558409.3780000005</v>
      </c>
    </row>
    <row r="41" spans="2:20" ht="18" customHeight="1" x14ac:dyDescent="0.25">
      <c r="B41" s="644">
        <v>35</v>
      </c>
      <c r="C41" s="645" t="s">
        <v>275</v>
      </c>
      <c r="D41" s="646">
        <v>0</v>
      </c>
      <c r="E41" s="646">
        <v>212090.802</v>
      </c>
      <c r="F41" s="646">
        <v>491562.29850000003</v>
      </c>
      <c r="G41" s="646">
        <v>297322.73550000007</v>
      </c>
      <c r="H41" s="646">
        <v>396430.31400000001</v>
      </c>
      <c r="I41" s="646">
        <v>50445.486000000004</v>
      </c>
      <c r="J41" s="646">
        <v>619422.63600000006</v>
      </c>
      <c r="K41" s="646">
        <v>198215.15700000001</v>
      </c>
      <c r="L41" s="646">
        <v>184966.78200000001</v>
      </c>
      <c r="M41" s="646">
        <v>0</v>
      </c>
      <c r="N41" s="646">
        <v>0</v>
      </c>
      <c r="O41" s="646">
        <v>0</v>
      </c>
      <c r="P41" s="646">
        <v>0</v>
      </c>
      <c r="Q41" s="646">
        <v>107953.16700000002</v>
      </c>
      <c r="R41" s="646">
        <v>0</v>
      </c>
      <c r="S41" s="646">
        <v>0</v>
      </c>
      <c r="T41" s="646">
        <f t="shared" si="0"/>
        <v>2558409.3780000005</v>
      </c>
    </row>
    <row r="42" spans="2:20" ht="18" customHeight="1" x14ac:dyDescent="0.25">
      <c r="B42" s="644">
        <v>36</v>
      </c>
      <c r="C42" s="645" t="s">
        <v>296</v>
      </c>
      <c r="D42" s="646">
        <v>161929.75050000002</v>
      </c>
      <c r="E42" s="646">
        <v>212090.802</v>
      </c>
      <c r="F42" s="646">
        <v>491562.29850000003</v>
      </c>
      <c r="G42" s="646">
        <v>297322.73550000007</v>
      </c>
      <c r="H42" s="646">
        <v>396430.31400000001</v>
      </c>
      <c r="I42" s="646">
        <v>50445.486000000004</v>
      </c>
      <c r="J42" s="646">
        <v>619422.63600000006</v>
      </c>
      <c r="K42" s="646">
        <v>198215.15700000001</v>
      </c>
      <c r="L42" s="646">
        <v>184966.78200000001</v>
      </c>
      <c r="M42" s="646">
        <v>2477690.5440000002</v>
      </c>
      <c r="N42" s="646">
        <v>4203789.4185000006</v>
      </c>
      <c r="O42" s="646">
        <v>694679.89500000002</v>
      </c>
      <c r="P42" s="646">
        <v>1189292.0234999999</v>
      </c>
      <c r="Q42" s="646">
        <v>107953.16700000002</v>
      </c>
      <c r="R42" s="646">
        <v>0</v>
      </c>
      <c r="S42" s="646">
        <v>504454.86</v>
      </c>
      <c r="T42" s="646">
        <f t="shared" si="0"/>
        <v>11790245.8695</v>
      </c>
    </row>
    <row r="43" spans="2:20" ht="18" customHeight="1" x14ac:dyDescent="0.25">
      <c r="B43" s="644">
        <v>37</v>
      </c>
      <c r="C43" s="645" t="s">
        <v>277</v>
      </c>
      <c r="D43" s="646">
        <v>161929.75050000002</v>
      </c>
      <c r="E43" s="646">
        <v>212090.802</v>
      </c>
      <c r="F43" s="646">
        <v>491562.29850000003</v>
      </c>
      <c r="G43" s="646">
        <v>297322.73550000007</v>
      </c>
      <c r="H43" s="646">
        <v>396430.31400000001</v>
      </c>
      <c r="I43" s="646">
        <v>50445.486000000004</v>
      </c>
      <c r="J43" s="646">
        <v>619422.63600000006</v>
      </c>
      <c r="K43" s="646">
        <v>198215.15700000001</v>
      </c>
      <c r="L43" s="646">
        <v>184966.78200000001</v>
      </c>
      <c r="M43" s="646">
        <v>2477690.5440000002</v>
      </c>
      <c r="N43" s="646">
        <v>4203789.4185000006</v>
      </c>
      <c r="O43" s="646">
        <v>694679.89500000002</v>
      </c>
      <c r="P43" s="646">
        <v>1189292.0234999999</v>
      </c>
      <c r="Q43" s="646">
        <v>107953.16700000002</v>
      </c>
      <c r="R43" s="646">
        <v>588530.67000000004</v>
      </c>
      <c r="S43" s="646">
        <v>504454.86</v>
      </c>
      <c r="T43" s="646">
        <f t="shared" si="0"/>
        <v>12378776.5395</v>
      </c>
    </row>
    <row r="44" spans="2:20" ht="18" customHeight="1" x14ac:dyDescent="0.25">
      <c r="B44" s="644">
        <v>38</v>
      </c>
      <c r="C44" s="645" t="s">
        <v>278</v>
      </c>
      <c r="D44" s="646">
        <v>161929.75050000002</v>
      </c>
      <c r="E44" s="646">
        <v>212090.802</v>
      </c>
      <c r="F44" s="646">
        <v>491562.29850000003</v>
      </c>
      <c r="G44" s="646">
        <v>297322.73550000007</v>
      </c>
      <c r="H44" s="646">
        <v>396430.31400000001</v>
      </c>
      <c r="I44" s="646">
        <v>50445.486000000004</v>
      </c>
      <c r="J44" s="646">
        <v>619422.63600000006</v>
      </c>
      <c r="K44" s="646">
        <v>198215.15700000001</v>
      </c>
      <c r="L44" s="646">
        <v>184966.78200000001</v>
      </c>
      <c r="M44" s="646">
        <v>2477690.5440000002</v>
      </c>
      <c r="N44" s="646">
        <v>4203789.4185000006</v>
      </c>
      <c r="O44" s="646">
        <v>694679.89500000002</v>
      </c>
      <c r="P44" s="646">
        <v>1189292.0234999999</v>
      </c>
      <c r="Q44" s="646">
        <v>107953.16700000002</v>
      </c>
      <c r="R44" s="646">
        <v>0</v>
      </c>
      <c r="S44" s="646">
        <v>504454.86</v>
      </c>
      <c r="T44" s="646">
        <f t="shared" si="0"/>
        <v>11790245.8695</v>
      </c>
    </row>
    <row r="45" spans="2:20" ht="18" customHeight="1" x14ac:dyDescent="0.25">
      <c r="B45" s="644">
        <v>39</v>
      </c>
      <c r="C45" s="647" t="s">
        <v>279</v>
      </c>
      <c r="D45" s="646">
        <v>0</v>
      </c>
      <c r="E45" s="646">
        <v>212090.802</v>
      </c>
      <c r="F45" s="646">
        <v>491562.29850000003</v>
      </c>
      <c r="G45" s="646">
        <v>297322.73550000007</v>
      </c>
      <c r="H45" s="646">
        <v>396430.31400000001</v>
      </c>
      <c r="I45" s="646">
        <v>50445.486000000004</v>
      </c>
      <c r="J45" s="646">
        <v>619422.63600000006</v>
      </c>
      <c r="K45" s="646">
        <v>198215.15700000001</v>
      </c>
      <c r="L45" s="646">
        <v>184966.78200000001</v>
      </c>
      <c r="M45" s="646">
        <v>0</v>
      </c>
      <c r="N45" s="646">
        <v>0</v>
      </c>
      <c r="O45" s="646">
        <v>0</v>
      </c>
      <c r="P45" s="646">
        <v>0</v>
      </c>
      <c r="Q45" s="646">
        <v>107953.16700000002</v>
      </c>
      <c r="R45" s="646">
        <v>0</v>
      </c>
      <c r="S45" s="646">
        <v>0</v>
      </c>
      <c r="T45" s="646">
        <f t="shared" si="0"/>
        <v>2558409.3780000005</v>
      </c>
    </row>
    <row r="46" spans="2:20" ht="18" customHeight="1" x14ac:dyDescent="0.25">
      <c r="B46" s="644">
        <v>40</v>
      </c>
      <c r="C46" s="645" t="s">
        <v>280</v>
      </c>
      <c r="D46" s="646">
        <v>0</v>
      </c>
      <c r="E46" s="646">
        <v>212090.802</v>
      </c>
      <c r="F46" s="646">
        <v>491562.29850000003</v>
      </c>
      <c r="G46" s="646">
        <v>0</v>
      </c>
      <c r="H46" s="646">
        <v>0</v>
      </c>
      <c r="I46" s="646">
        <v>0</v>
      </c>
      <c r="J46" s="646">
        <v>0</v>
      </c>
      <c r="K46" s="646">
        <v>0</v>
      </c>
      <c r="L46" s="646">
        <v>0</v>
      </c>
      <c r="M46" s="646">
        <v>0</v>
      </c>
      <c r="N46" s="646">
        <v>0</v>
      </c>
      <c r="O46" s="646">
        <v>0</v>
      </c>
      <c r="P46" s="646">
        <v>0</v>
      </c>
      <c r="Q46" s="646">
        <v>0</v>
      </c>
      <c r="R46" s="646">
        <v>0</v>
      </c>
      <c r="S46" s="646">
        <v>0</v>
      </c>
      <c r="T46" s="646">
        <f t="shared" si="0"/>
        <v>703653.10050000006</v>
      </c>
    </row>
    <row r="47" spans="2:20" ht="18" customHeight="1" x14ac:dyDescent="0.25">
      <c r="B47" s="1030" t="s">
        <v>297</v>
      </c>
      <c r="C47" s="1031"/>
      <c r="D47" s="648">
        <f t="shared" ref="D47:S47" si="1">SUM(D4:D46)</f>
        <v>971578.50300000026</v>
      </c>
      <c r="E47" s="648">
        <f t="shared" si="1"/>
        <v>8483632.0800000038</v>
      </c>
      <c r="F47" s="648">
        <f t="shared" si="1"/>
        <v>19662491.939999998</v>
      </c>
      <c r="G47" s="648">
        <f t="shared" si="1"/>
        <v>11595586.684500009</v>
      </c>
      <c r="H47" s="648">
        <f t="shared" si="1"/>
        <v>15460782.245999992</v>
      </c>
      <c r="I47" s="648">
        <f t="shared" si="1"/>
        <v>1967373.9540000011</v>
      </c>
      <c r="J47" s="648">
        <f t="shared" si="1"/>
        <v>24157482.804000001</v>
      </c>
      <c r="K47" s="648">
        <f t="shared" si="1"/>
        <v>7730391.1229999959</v>
      </c>
      <c r="L47" s="648">
        <f t="shared" si="1"/>
        <v>7213704.4979999959</v>
      </c>
      <c r="M47" s="648">
        <f t="shared" si="1"/>
        <v>14866143.264</v>
      </c>
      <c r="N47" s="648">
        <f t="shared" si="1"/>
        <v>25222736.511</v>
      </c>
      <c r="O47" s="648">
        <f t="shared" si="1"/>
        <v>4313961.8234999999</v>
      </c>
      <c r="P47" s="648">
        <f t="shared" si="1"/>
        <v>7135752.1409999998</v>
      </c>
      <c r="Q47" s="648">
        <f t="shared" si="1"/>
        <v>4102220.3459999976</v>
      </c>
      <c r="R47" s="648">
        <f t="shared" si="1"/>
        <v>1177061.3400000001</v>
      </c>
      <c r="S47" s="648">
        <f t="shared" si="1"/>
        <v>3026729.1599999997</v>
      </c>
      <c r="T47" s="648">
        <f t="shared" si="0"/>
        <v>157087628.41799998</v>
      </c>
    </row>
    <row r="48" spans="2:20" ht="18" customHeight="1" x14ac:dyDescent="0.25">
      <c r="B48" s="649"/>
      <c r="C48" s="650"/>
      <c r="D48" s="651"/>
      <c r="E48" s="651"/>
      <c r="F48" s="651"/>
      <c r="G48" s="651"/>
      <c r="H48" s="651"/>
      <c r="I48" s="651"/>
      <c r="J48" s="651"/>
      <c r="K48" s="651"/>
      <c r="L48" s="651"/>
      <c r="M48" s="651"/>
      <c r="N48" s="651"/>
      <c r="O48" s="651"/>
      <c r="P48" s="1025" t="s">
        <v>282</v>
      </c>
      <c r="Q48" s="1026"/>
      <c r="R48" s="1026"/>
      <c r="S48" s="1027"/>
      <c r="T48" s="648">
        <f>T47*0.16</f>
        <v>25134020.546879999</v>
      </c>
    </row>
    <row r="49" spans="2:20" ht="18" customHeight="1" x14ac:dyDescent="0.25">
      <c r="B49" s="649"/>
      <c r="C49" s="650"/>
      <c r="D49" s="651"/>
      <c r="E49" s="651"/>
      <c r="F49" s="651"/>
      <c r="G49" s="651"/>
      <c r="H49" s="651"/>
      <c r="I49" s="651"/>
      <c r="J49" s="651"/>
      <c r="K49" s="651"/>
      <c r="L49" s="651"/>
      <c r="M49" s="651"/>
      <c r="N49" s="651"/>
      <c r="O49" s="651"/>
      <c r="P49" s="1025" t="s">
        <v>161</v>
      </c>
      <c r="Q49" s="1026"/>
      <c r="R49" s="1026"/>
      <c r="S49" s="1027"/>
      <c r="T49" s="648">
        <f>SUM(T47:T48)</f>
        <v>182221648.96487999</v>
      </c>
    </row>
    <row r="50" spans="2:20" ht="18" customHeight="1" x14ac:dyDescent="0.25">
      <c r="B50" s="649"/>
      <c r="C50" s="650"/>
      <c r="D50" s="651"/>
      <c r="E50" s="651"/>
      <c r="F50" s="651"/>
      <c r="G50" s="651"/>
      <c r="H50" s="651"/>
      <c r="I50" s="651"/>
      <c r="J50" s="651"/>
      <c r="K50" s="651"/>
      <c r="L50" s="651"/>
      <c r="M50" s="651"/>
      <c r="N50" s="651"/>
      <c r="O50" s="651"/>
      <c r="P50" s="1025" t="s">
        <v>583</v>
      </c>
      <c r="Q50" s="1026"/>
      <c r="R50" s="1026"/>
      <c r="S50" s="1027"/>
      <c r="T50" s="648">
        <f>T49*0.7</f>
        <v>127555154.27541599</v>
      </c>
    </row>
  </sheetData>
  <mergeCells count="6">
    <mergeCell ref="P50:S50"/>
    <mergeCell ref="B1:T1"/>
    <mergeCell ref="B2:T2"/>
    <mergeCell ref="B47:C47"/>
    <mergeCell ref="P48:S48"/>
    <mergeCell ref="P49:S49"/>
  </mergeCells>
  <printOptions horizontalCentered="1" verticalCentered="1"/>
  <pageMargins left="0.7" right="0.7" top="0.75" bottom="0.75" header="0.3" footer="0.3"/>
  <pageSetup paperSize="5" scale="70" orientation="landscape" r:id="rId1"/>
  <headerFooter>
    <oddFooter xml:space="preserve">&amp;C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rgb="FF00B0F0"/>
  </sheetPr>
  <dimension ref="B3:N51"/>
  <sheetViews>
    <sheetView view="pageLayout" zoomScaleNormal="100" workbookViewId="0">
      <selection activeCell="G31" sqref="G31"/>
    </sheetView>
  </sheetViews>
  <sheetFormatPr baseColWidth="10" defaultRowHeight="15" x14ac:dyDescent="0.25"/>
  <cols>
    <col min="1" max="1" width="8.42578125" style="145" customWidth="1"/>
    <col min="2" max="2" width="4.42578125" style="163" customWidth="1"/>
    <col min="3" max="3" width="23.28515625" style="145" customWidth="1"/>
    <col min="4" max="4" width="11.140625" style="145" customWidth="1"/>
    <col min="5" max="5" width="12.42578125" style="145" customWidth="1"/>
    <col min="6" max="6" width="11.5703125" style="145" customWidth="1"/>
    <col min="7" max="7" width="11.28515625" style="145" customWidth="1"/>
    <col min="8" max="8" width="11.140625" style="145" customWidth="1"/>
    <col min="9" max="9" width="11.7109375" style="145" customWidth="1"/>
    <col min="10" max="10" width="11.42578125" style="145" customWidth="1"/>
    <col min="11" max="11" width="11" style="145" customWidth="1"/>
    <col min="12" max="12" width="11.42578125" style="145" customWidth="1"/>
    <col min="13" max="13" width="12.42578125" style="145" customWidth="1"/>
    <col min="14" max="14" width="12.5703125" style="145" customWidth="1"/>
    <col min="15" max="16384" width="11.42578125" style="145"/>
  </cols>
  <sheetData>
    <row r="3" spans="2:14" x14ac:dyDescent="0.25">
      <c r="B3" s="1032" t="s">
        <v>1417</v>
      </c>
      <c r="C3" s="1032"/>
      <c r="D3" s="1032"/>
      <c r="E3" s="1032"/>
      <c r="F3" s="1032"/>
      <c r="G3" s="1032"/>
      <c r="H3" s="1032"/>
      <c r="I3" s="1032"/>
      <c r="J3" s="1032"/>
      <c r="K3" s="1032"/>
      <c r="L3" s="1032"/>
      <c r="M3" s="1032"/>
      <c r="N3" s="1032"/>
    </row>
    <row r="4" spans="2:14" s="215" customFormat="1" ht="124.5" customHeight="1" x14ac:dyDescent="0.25">
      <c r="B4" s="584" t="s">
        <v>346</v>
      </c>
      <c r="C4" s="587" t="s">
        <v>287</v>
      </c>
      <c r="D4" s="599" t="s">
        <v>602</v>
      </c>
      <c r="E4" s="599" t="s">
        <v>603</v>
      </c>
      <c r="F4" s="599" t="s">
        <v>288</v>
      </c>
      <c r="G4" s="599" t="s">
        <v>604</v>
      </c>
      <c r="H4" s="599" t="s">
        <v>605</v>
      </c>
      <c r="I4" s="599" t="s">
        <v>606</v>
      </c>
      <c r="J4" s="599" t="s">
        <v>607</v>
      </c>
      <c r="K4" s="599" t="s">
        <v>608</v>
      </c>
      <c r="L4" s="599" t="s">
        <v>609</v>
      </c>
      <c r="M4" s="599" t="s">
        <v>610</v>
      </c>
      <c r="N4" s="587" t="s">
        <v>611</v>
      </c>
    </row>
    <row r="5" spans="2:14" ht="19.7" customHeight="1" x14ac:dyDescent="0.25">
      <c r="B5" s="230">
        <v>1</v>
      </c>
      <c r="C5" s="254" t="s">
        <v>241</v>
      </c>
      <c r="D5" s="219">
        <v>300000</v>
      </c>
      <c r="E5" s="219">
        <v>0</v>
      </c>
      <c r="F5" s="219">
        <v>140000</v>
      </c>
      <c r="G5" s="219">
        <v>10400000</v>
      </c>
      <c r="H5" s="219">
        <v>6500000</v>
      </c>
      <c r="I5" s="219">
        <v>0</v>
      </c>
      <c r="J5" s="219">
        <v>520000</v>
      </c>
      <c r="K5" s="219">
        <v>0</v>
      </c>
      <c r="L5" s="219">
        <v>0</v>
      </c>
      <c r="M5" s="219">
        <v>13333505</v>
      </c>
      <c r="N5" s="219">
        <f>SUM(D5:M5)</f>
        <v>31193505</v>
      </c>
    </row>
    <row r="6" spans="2:14" ht="19.7" customHeight="1" x14ac:dyDescent="0.25">
      <c r="B6" s="230">
        <v>2</v>
      </c>
      <c r="C6" s="254" t="s">
        <v>242</v>
      </c>
      <c r="D6" s="219">
        <v>1500000</v>
      </c>
      <c r="E6" s="219">
        <v>2240000</v>
      </c>
      <c r="F6" s="219">
        <v>2240000</v>
      </c>
      <c r="G6" s="219">
        <v>19500000</v>
      </c>
      <c r="H6" s="219">
        <v>15000000</v>
      </c>
      <c r="I6" s="219">
        <v>10400000</v>
      </c>
      <c r="J6" s="219">
        <v>16000000</v>
      </c>
      <c r="K6" s="219">
        <v>10400000</v>
      </c>
      <c r="L6" s="219">
        <v>17777406.150000002</v>
      </c>
      <c r="M6" s="219">
        <v>26666109.75</v>
      </c>
      <c r="N6" s="219">
        <f t="shared" ref="N6:N47" si="0">SUM(D6:M6)</f>
        <v>121723515.90000001</v>
      </c>
    </row>
    <row r="7" spans="2:14" ht="19.7" customHeight="1" x14ac:dyDescent="0.25">
      <c r="B7" s="230">
        <v>4</v>
      </c>
      <c r="C7" s="254" t="s">
        <v>244</v>
      </c>
      <c r="D7" s="219">
        <v>300000</v>
      </c>
      <c r="E7" s="219">
        <v>0</v>
      </c>
      <c r="F7" s="219">
        <v>140000</v>
      </c>
      <c r="G7" s="219">
        <v>10400000</v>
      </c>
      <c r="H7" s="219">
        <v>6500000</v>
      </c>
      <c r="I7" s="219">
        <v>0</v>
      </c>
      <c r="J7" s="219">
        <v>520000</v>
      </c>
      <c r="K7" s="219">
        <v>0</v>
      </c>
      <c r="L7" s="219">
        <v>0</v>
      </c>
      <c r="M7" s="219">
        <v>13333505</v>
      </c>
      <c r="N7" s="219">
        <f t="shared" si="0"/>
        <v>31193505</v>
      </c>
    </row>
    <row r="8" spans="2:14" ht="19.7" customHeight="1" x14ac:dyDescent="0.25">
      <c r="B8" s="230">
        <v>5</v>
      </c>
      <c r="C8" s="254" t="s">
        <v>245</v>
      </c>
      <c r="D8" s="219">
        <v>300000</v>
      </c>
      <c r="E8" s="219">
        <v>0</v>
      </c>
      <c r="F8" s="219">
        <v>140000</v>
      </c>
      <c r="G8" s="219">
        <v>10400000</v>
      </c>
      <c r="H8" s="219">
        <v>6500000</v>
      </c>
      <c r="I8" s="219">
        <v>0</v>
      </c>
      <c r="J8" s="219">
        <v>520000</v>
      </c>
      <c r="K8" s="219">
        <v>0</v>
      </c>
      <c r="L8" s="219">
        <v>0</v>
      </c>
      <c r="M8" s="219">
        <v>13333505</v>
      </c>
      <c r="N8" s="219">
        <f t="shared" si="0"/>
        <v>31193505</v>
      </c>
    </row>
    <row r="9" spans="2:14" ht="19.7" customHeight="1" x14ac:dyDescent="0.25">
      <c r="B9" s="230">
        <v>6</v>
      </c>
      <c r="C9" s="254" t="s">
        <v>246</v>
      </c>
      <c r="D9" s="219">
        <v>300000</v>
      </c>
      <c r="E9" s="219">
        <v>140000</v>
      </c>
      <c r="F9" s="219">
        <v>140000</v>
      </c>
      <c r="G9" s="219">
        <v>10400000</v>
      </c>
      <c r="H9" s="219">
        <v>6500000</v>
      </c>
      <c r="I9" s="219">
        <v>0</v>
      </c>
      <c r="J9" s="219">
        <v>520000</v>
      </c>
      <c r="K9" s="219">
        <v>0</v>
      </c>
      <c r="L9" s="219">
        <v>0</v>
      </c>
      <c r="M9" s="219">
        <v>13333505</v>
      </c>
      <c r="N9" s="219">
        <f t="shared" si="0"/>
        <v>31333505</v>
      </c>
    </row>
    <row r="10" spans="2:14" ht="19.7" customHeight="1" x14ac:dyDescent="0.25">
      <c r="B10" s="230">
        <v>7</v>
      </c>
      <c r="C10" s="254" t="s">
        <v>526</v>
      </c>
      <c r="D10" s="219">
        <v>300000</v>
      </c>
      <c r="E10" s="219">
        <v>0</v>
      </c>
      <c r="F10" s="219">
        <v>140000</v>
      </c>
      <c r="G10" s="219">
        <v>10400000</v>
      </c>
      <c r="H10" s="219">
        <v>6500000</v>
      </c>
      <c r="I10" s="219">
        <v>0</v>
      </c>
      <c r="J10" s="219">
        <v>520000</v>
      </c>
      <c r="K10" s="219">
        <v>0</v>
      </c>
      <c r="L10" s="219">
        <v>0</v>
      </c>
      <c r="M10" s="219">
        <v>13333505</v>
      </c>
      <c r="N10" s="219">
        <f t="shared" si="0"/>
        <v>31193505</v>
      </c>
    </row>
    <row r="11" spans="2:14" ht="19.7" customHeight="1" x14ac:dyDescent="0.25">
      <c r="B11" s="230">
        <v>8</v>
      </c>
      <c r="C11" s="254" t="s">
        <v>248</v>
      </c>
      <c r="D11" s="219">
        <v>300000</v>
      </c>
      <c r="E11" s="219">
        <v>0</v>
      </c>
      <c r="F11" s="219">
        <v>140000</v>
      </c>
      <c r="G11" s="219">
        <v>10400000</v>
      </c>
      <c r="H11" s="219">
        <v>6500000</v>
      </c>
      <c r="I11" s="219">
        <v>0</v>
      </c>
      <c r="J11" s="219">
        <v>520000</v>
      </c>
      <c r="K11" s="219">
        <v>0</v>
      </c>
      <c r="L11" s="219">
        <v>0</v>
      </c>
      <c r="M11" s="219">
        <v>13333505</v>
      </c>
      <c r="N11" s="219">
        <f t="shared" si="0"/>
        <v>31193505</v>
      </c>
    </row>
    <row r="12" spans="2:14" ht="19.7" customHeight="1" x14ac:dyDescent="0.25">
      <c r="B12" s="230">
        <v>9</v>
      </c>
      <c r="C12" s="258" t="s">
        <v>249</v>
      </c>
      <c r="D12" s="219">
        <v>300000</v>
      </c>
      <c r="E12" s="219">
        <v>0</v>
      </c>
      <c r="F12" s="219">
        <v>140000</v>
      </c>
      <c r="G12" s="219">
        <v>10400000</v>
      </c>
      <c r="H12" s="219">
        <v>6500000</v>
      </c>
      <c r="I12" s="219">
        <v>0</v>
      </c>
      <c r="J12" s="219">
        <v>520000</v>
      </c>
      <c r="K12" s="219">
        <v>0</v>
      </c>
      <c r="L12" s="219">
        <v>0</v>
      </c>
      <c r="M12" s="219">
        <v>13333505</v>
      </c>
      <c r="N12" s="219">
        <f t="shared" si="0"/>
        <v>31193505</v>
      </c>
    </row>
    <row r="13" spans="2:14" ht="19.7" customHeight="1" x14ac:dyDescent="0.25">
      <c r="B13" s="230">
        <v>10</v>
      </c>
      <c r="C13" s="254" t="s">
        <v>250</v>
      </c>
      <c r="D13" s="219">
        <v>300000</v>
      </c>
      <c r="E13" s="219">
        <v>140000</v>
      </c>
      <c r="F13" s="219">
        <v>140000</v>
      </c>
      <c r="G13" s="219">
        <v>10400000</v>
      </c>
      <c r="H13" s="219">
        <v>6500000</v>
      </c>
      <c r="I13" s="219">
        <v>0</v>
      </c>
      <c r="J13" s="219">
        <v>520000</v>
      </c>
      <c r="K13" s="219">
        <v>0</v>
      </c>
      <c r="L13" s="219">
        <v>0</v>
      </c>
      <c r="M13" s="219">
        <v>13333505</v>
      </c>
      <c r="N13" s="219">
        <f t="shared" si="0"/>
        <v>31333505</v>
      </c>
    </row>
    <row r="14" spans="2:14" ht="19.7" customHeight="1" x14ac:dyDescent="0.25">
      <c r="B14" s="230">
        <v>11</v>
      </c>
      <c r="C14" s="254" t="s">
        <v>251</v>
      </c>
      <c r="D14" s="219">
        <v>300000</v>
      </c>
      <c r="E14" s="219">
        <v>140000</v>
      </c>
      <c r="F14" s="219">
        <v>140000</v>
      </c>
      <c r="G14" s="219">
        <v>10400000</v>
      </c>
      <c r="H14" s="219">
        <v>6500000</v>
      </c>
      <c r="I14" s="219">
        <v>0</v>
      </c>
      <c r="J14" s="219">
        <v>520000</v>
      </c>
      <c r="K14" s="219">
        <v>0</v>
      </c>
      <c r="L14" s="219">
        <v>0</v>
      </c>
      <c r="M14" s="219">
        <v>13333505</v>
      </c>
      <c r="N14" s="219">
        <f t="shared" si="0"/>
        <v>31333505</v>
      </c>
    </row>
    <row r="15" spans="2:14" ht="19.7" customHeight="1" x14ac:dyDescent="0.25">
      <c r="B15" s="230">
        <v>12</v>
      </c>
      <c r="C15" s="254" t="s">
        <v>252</v>
      </c>
      <c r="D15" s="219">
        <v>300000</v>
      </c>
      <c r="E15" s="219">
        <v>140000</v>
      </c>
      <c r="F15" s="219">
        <v>140000</v>
      </c>
      <c r="G15" s="219">
        <v>10400000</v>
      </c>
      <c r="H15" s="219">
        <v>6500000</v>
      </c>
      <c r="I15" s="219">
        <v>0</v>
      </c>
      <c r="J15" s="219">
        <v>520000</v>
      </c>
      <c r="K15" s="219">
        <v>0</v>
      </c>
      <c r="L15" s="219">
        <v>0</v>
      </c>
      <c r="M15" s="219">
        <v>13333505</v>
      </c>
      <c r="N15" s="219">
        <f t="shared" si="0"/>
        <v>31333505</v>
      </c>
    </row>
    <row r="16" spans="2:14" ht="19.7" customHeight="1" x14ac:dyDescent="0.25">
      <c r="B16" s="230">
        <v>13</v>
      </c>
      <c r="C16" s="254" t="s">
        <v>253</v>
      </c>
      <c r="D16" s="219">
        <v>300000</v>
      </c>
      <c r="E16" s="219">
        <v>0</v>
      </c>
      <c r="F16" s="219">
        <v>140000</v>
      </c>
      <c r="G16" s="219">
        <v>10400000</v>
      </c>
      <c r="H16" s="219">
        <v>6500000</v>
      </c>
      <c r="I16" s="219">
        <v>0</v>
      </c>
      <c r="J16" s="219">
        <v>520000</v>
      </c>
      <c r="K16" s="219">
        <v>0</v>
      </c>
      <c r="L16" s="219">
        <v>0</v>
      </c>
      <c r="M16" s="219">
        <v>13333505</v>
      </c>
      <c r="N16" s="219">
        <f t="shared" si="0"/>
        <v>31193505</v>
      </c>
    </row>
    <row r="17" spans="2:14" ht="19.7" customHeight="1" x14ac:dyDescent="0.25">
      <c r="B17" s="230">
        <v>14</v>
      </c>
      <c r="C17" s="258" t="s">
        <v>254</v>
      </c>
      <c r="D17" s="219">
        <v>300000</v>
      </c>
      <c r="E17" s="219">
        <v>0</v>
      </c>
      <c r="F17" s="219">
        <v>140000</v>
      </c>
      <c r="G17" s="219">
        <v>10400000</v>
      </c>
      <c r="H17" s="219">
        <v>6500000</v>
      </c>
      <c r="I17" s="219">
        <v>0</v>
      </c>
      <c r="J17" s="219">
        <v>520000</v>
      </c>
      <c r="K17" s="219">
        <v>0</v>
      </c>
      <c r="L17" s="219">
        <v>0</v>
      </c>
      <c r="M17" s="219">
        <v>13333505</v>
      </c>
      <c r="N17" s="219">
        <f t="shared" si="0"/>
        <v>31193505</v>
      </c>
    </row>
    <row r="18" spans="2:14" ht="19.7" customHeight="1" x14ac:dyDescent="0.25">
      <c r="B18" s="230">
        <v>15</v>
      </c>
      <c r="C18" s="254" t="s">
        <v>255</v>
      </c>
      <c r="D18" s="219">
        <v>300000</v>
      </c>
      <c r="E18" s="219">
        <v>140000</v>
      </c>
      <c r="F18" s="219">
        <v>140000</v>
      </c>
      <c r="G18" s="219">
        <v>10400000</v>
      </c>
      <c r="H18" s="219">
        <v>6500000</v>
      </c>
      <c r="I18" s="219">
        <v>0</v>
      </c>
      <c r="J18" s="219">
        <v>520000</v>
      </c>
      <c r="K18" s="219">
        <v>0</v>
      </c>
      <c r="L18" s="219">
        <v>0</v>
      </c>
      <c r="M18" s="219">
        <v>13333505</v>
      </c>
      <c r="N18" s="219">
        <f t="shared" si="0"/>
        <v>31333505</v>
      </c>
    </row>
    <row r="19" spans="2:14" ht="19.7" customHeight="1" x14ac:dyDescent="0.25">
      <c r="B19" s="230">
        <v>16</v>
      </c>
      <c r="C19" s="254" t="s">
        <v>256</v>
      </c>
      <c r="D19" s="219">
        <v>300000</v>
      </c>
      <c r="E19" s="219">
        <v>0</v>
      </c>
      <c r="F19" s="219">
        <v>140000</v>
      </c>
      <c r="G19" s="219">
        <v>10400000</v>
      </c>
      <c r="H19" s="219">
        <v>6500000</v>
      </c>
      <c r="I19" s="219">
        <v>0</v>
      </c>
      <c r="J19" s="219">
        <v>520000</v>
      </c>
      <c r="K19" s="219">
        <v>0</v>
      </c>
      <c r="L19" s="219">
        <v>0</v>
      </c>
      <c r="M19" s="219">
        <v>13333505</v>
      </c>
      <c r="N19" s="219">
        <f t="shared" si="0"/>
        <v>31193505</v>
      </c>
    </row>
    <row r="20" spans="2:14" ht="19.7" customHeight="1" x14ac:dyDescent="0.25">
      <c r="B20" s="230">
        <v>17</v>
      </c>
      <c r="C20" s="254" t="s">
        <v>257</v>
      </c>
      <c r="D20" s="219">
        <v>300000</v>
      </c>
      <c r="E20" s="219">
        <v>0</v>
      </c>
      <c r="F20" s="219">
        <v>140000</v>
      </c>
      <c r="G20" s="219">
        <v>10400000</v>
      </c>
      <c r="H20" s="219">
        <v>6500000</v>
      </c>
      <c r="I20" s="219">
        <v>0</v>
      </c>
      <c r="J20" s="219">
        <v>520000</v>
      </c>
      <c r="K20" s="219">
        <v>0</v>
      </c>
      <c r="L20" s="219">
        <v>0</v>
      </c>
      <c r="M20" s="219">
        <v>13333505</v>
      </c>
      <c r="N20" s="219">
        <f t="shared" si="0"/>
        <v>31193505</v>
      </c>
    </row>
    <row r="21" spans="2:14" ht="19.7" customHeight="1" x14ac:dyDescent="0.25">
      <c r="B21" s="230">
        <v>18</v>
      </c>
      <c r="C21" s="254" t="s">
        <v>258</v>
      </c>
      <c r="D21" s="219">
        <v>300000</v>
      </c>
      <c r="E21" s="219">
        <v>0</v>
      </c>
      <c r="F21" s="219">
        <v>140000</v>
      </c>
      <c r="G21" s="219">
        <v>10400000</v>
      </c>
      <c r="H21" s="219">
        <v>6500000</v>
      </c>
      <c r="I21" s="219">
        <v>0</v>
      </c>
      <c r="J21" s="219">
        <v>520000</v>
      </c>
      <c r="K21" s="219">
        <v>0</v>
      </c>
      <c r="L21" s="219">
        <v>0</v>
      </c>
      <c r="M21" s="219">
        <v>13333505</v>
      </c>
      <c r="N21" s="219">
        <f t="shared" si="0"/>
        <v>31193505</v>
      </c>
    </row>
    <row r="22" spans="2:14" ht="19.7" customHeight="1" x14ac:dyDescent="0.25">
      <c r="B22" s="230">
        <v>19</v>
      </c>
      <c r="C22" s="254" t="s">
        <v>259</v>
      </c>
      <c r="D22" s="219">
        <v>1500000</v>
      </c>
      <c r="E22" s="219">
        <v>2240000</v>
      </c>
      <c r="F22" s="219">
        <v>2240000</v>
      </c>
      <c r="G22" s="219">
        <v>19500000</v>
      </c>
      <c r="H22" s="219">
        <v>15000000</v>
      </c>
      <c r="I22" s="219">
        <v>10400000</v>
      </c>
      <c r="J22" s="219">
        <v>16000000</v>
      </c>
      <c r="K22" s="219">
        <v>10400000</v>
      </c>
      <c r="L22" s="219">
        <v>17777406.150000002</v>
      </c>
      <c r="M22" s="219">
        <v>26666109.75</v>
      </c>
      <c r="N22" s="219">
        <f t="shared" si="0"/>
        <v>121723515.90000001</v>
      </c>
    </row>
    <row r="23" spans="2:14" ht="19.7" customHeight="1" x14ac:dyDescent="0.25">
      <c r="B23" s="282"/>
      <c r="C23" s="631"/>
      <c r="D23" s="633"/>
      <c r="E23" s="633"/>
      <c r="F23" s="633"/>
      <c r="G23" s="633"/>
      <c r="H23" s="633"/>
      <c r="I23" s="633"/>
      <c r="J23" s="633"/>
      <c r="K23" s="633"/>
      <c r="L23" s="633"/>
      <c r="M23" s="633"/>
      <c r="N23" s="633"/>
    </row>
    <row r="24" spans="2:14" ht="19.7" customHeight="1" x14ac:dyDescent="0.25">
      <c r="B24" s="610"/>
      <c r="C24" s="634"/>
      <c r="D24" s="636"/>
      <c r="E24" s="636"/>
      <c r="F24" s="636"/>
      <c r="G24" s="636"/>
      <c r="H24" s="636"/>
      <c r="I24" s="636"/>
      <c r="J24" s="636"/>
      <c r="K24" s="636"/>
      <c r="L24" s="636"/>
      <c r="M24" s="636"/>
      <c r="N24" s="636"/>
    </row>
    <row r="25" spans="2:14" ht="19.7" customHeight="1" x14ac:dyDescent="0.25">
      <c r="B25" s="610"/>
      <c r="C25" s="634"/>
      <c r="D25" s="636"/>
      <c r="E25" s="636"/>
      <c r="F25" s="636"/>
      <c r="G25" s="636"/>
      <c r="H25" s="636"/>
      <c r="I25" s="636"/>
      <c r="J25" s="636"/>
      <c r="K25" s="636"/>
      <c r="L25" s="636"/>
      <c r="M25" s="636"/>
      <c r="N25" s="636"/>
    </row>
    <row r="26" spans="2:14" ht="19.7" customHeight="1" x14ac:dyDescent="0.25">
      <c r="B26" s="610"/>
      <c r="C26" s="634"/>
      <c r="D26" s="636"/>
      <c r="E26" s="636"/>
      <c r="F26" s="636"/>
      <c r="G26" s="636"/>
      <c r="H26" s="636"/>
      <c r="I26" s="636"/>
      <c r="J26" s="636"/>
      <c r="K26" s="636"/>
      <c r="L26" s="636"/>
      <c r="M26" s="636"/>
      <c r="N26" s="636"/>
    </row>
    <row r="27" spans="2:14" ht="19.7" customHeight="1" x14ac:dyDescent="0.25">
      <c r="B27" s="230">
        <v>20</v>
      </c>
      <c r="C27" s="254" t="s">
        <v>260</v>
      </c>
      <c r="D27" s="219">
        <v>300000</v>
      </c>
      <c r="E27" s="219">
        <v>0</v>
      </c>
      <c r="F27" s="219">
        <v>140000</v>
      </c>
      <c r="G27" s="219">
        <v>10400000</v>
      </c>
      <c r="H27" s="219">
        <v>6500000</v>
      </c>
      <c r="I27" s="219">
        <v>0</v>
      </c>
      <c r="J27" s="219">
        <v>520000</v>
      </c>
      <c r="K27" s="219">
        <v>0</v>
      </c>
      <c r="L27" s="219">
        <v>0</v>
      </c>
      <c r="M27" s="219">
        <v>13333505</v>
      </c>
      <c r="N27" s="219">
        <f t="shared" si="0"/>
        <v>31193505</v>
      </c>
    </row>
    <row r="28" spans="2:14" ht="19.7" customHeight="1" x14ac:dyDescent="0.25">
      <c r="B28" s="230">
        <v>21</v>
      </c>
      <c r="C28" s="254" t="s">
        <v>261</v>
      </c>
      <c r="D28" s="219">
        <v>300000</v>
      </c>
      <c r="E28" s="219">
        <v>140000</v>
      </c>
      <c r="F28" s="219">
        <v>140000</v>
      </c>
      <c r="G28" s="219">
        <v>10400000</v>
      </c>
      <c r="H28" s="219">
        <v>6500000</v>
      </c>
      <c r="I28" s="219">
        <v>0</v>
      </c>
      <c r="J28" s="219">
        <v>520000</v>
      </c>
      <c r="K28" s="219">
        <v>0</v>
      </c>
      <c r="L28" s="219">
        <v>0</v>
      </c>
      <c r="M28" s="219">
        <v>13333505</v>
      </c>
      <c r="N28" s="219">
        <f t="shared" si="0"/>
        <v>31333505</v>
      </c>
    </row>
    <row r="29" spans="2:14" ht="19.7" customHeight="1" x14ac:dyDescent="0.25">
      <c r="B29" s="230">
        <v>22</v>
      </c>
      <c r="C29" s="254" t="s">
        <v>262</v>
      </c>
      <c r="D29" s="219">
        <v>300000</v>
      </c>
      <c r="E29" s="219">
        <v>140000</v>
      </c>
      <c r="F29" s="219">
        <v>140000</v>
      </c>
      <c r="G29" s="219">
        <v>10400000</v>
      </c>
      <c r="H29" s="219">
        <v>6500000</v>
      </c>
      <c r="I29" s="219">
        <v>0</v>
      </c>
      <c r="J29" s="219">
        <v>520000</v>
      </c>
      <c r="K29" s="219">
        <v>0</v>
      </c>
      <c r="L29" s="219">
        <v>0</v>
      </c>
      <c r="M29" s="219">
        <v>13333505</v>
      </c>
      <c r="N29" s="219">
        <f t="shared" si="0"/>
        <v>31333505</v>
      </c>
    </row>
    <row r="30" spans="2:14" ht="19.7" customHeight="1" x14ac:dyDescent="0.25">
      <c r="B30" s="230">
        <v>23</v>
      </c>
      <c r="C30" s="254" t="s">
        <v>263</v>
      </c>
      <c r="D30" s="219">
        <v>300000</v>
      </c>
      <c r="E30" s="219">
        <v>0</v>
      </c>
      <c r="F30" s="219">
        <v>140000</v>
      </c>
      <c r="G30" s="219">
        <v>10400000</v>
      </c>
      <c r="H30" s="219">
        <v>6500000</v>
      </c>
      <c r="I30" s="219">
        <v>0</v>
      </c>
      <c r="J30" s="219">
        <v>520000</v>
      </c>
      <c r="K30" s="219">
        <v>0</v>
      </c>
      <c r="L30" s="219">
        <v>0</v>
      </c>
      <c r="M30" s="219">
        <v>13333505</v>
      </c>
      <c r="N30" s="219">
        <f t="shared" si="0"/>
        <v>31193505</v>
      </c>
    </row>
    <row r="31" spans="2:14" ht="19.7" customHeight="1" x14ac:dyDescent="0.25">
      <c r="B31" s="230">
        <v>24</v>
      </c>
      <c r="C31" s="254" t="s">
        <v>264</v>
      </c>
      <c r="D31" s="219">
        <v>300000</v>
      </c>
      <c r="E31" s="219">
        <v>0</v>
      </c>
      <c r="F31" s="219">
        <v>140000</v>
      </c>
      <c r="G31" s="219">
        <v>10400000</v>
      </c>
      <c r="H31" s="219">
        <v>6500000</v>
      </c>
      <c r="I31" s="219">
        <v>0</v>
      </c>
      <c r="J31" s="219">
        <v>520000</v>
      </c>
      <c r="K31" s="219">
        <v>0</v>
      </c>
      <c r="L31" s="219">
        <v>0</v>
      </c>
      <c r="M31" s="219">
        <v>13333505</v>
      </c>
      <c r="N31" s="219">
        <f t="shared" si="0"/>
        <v>31193505</v>
      </c>
    </row>
    <row r="32" spans="2:14" ht="19.7" customHeight="1" x14ac:dyDescent="0.25">
      <c r="B32" s="230">
        <v>25</v>
      </c>
      <c r="C32" s="254" t="s">
        <v>265</v>
      </c>
      <c r="D32" s="219">
        <v>300000</v>
      </c>
      <c r="E32" s="219">
        <v>2240000</v>
      </c>
      <c r="F32" s="219">
        <v>140000</v>
      </c>
      <c r="G32" s="219">
        <v>19500000</v>
      </c>
      <c r="H32" s="219">
        <v>15000000</v>
      </c>
      <c r="I32" s="219">
        <v>20800000</v>
      </c>
      <c r="J32" s="219">
        <v>16000000</v>
      </c>
      <c r="K32" s="219">
        <v>10400000</v>
      </c>
      <c r="L32" s="219">
        <v>17777406.150000002</v>
      </c>
      <c r="M32" s="219">
        <v>26666109.75</v>
      </c>
      <c r="N32" s="219">
        <f t="shared" si="0"/>
        <v>128823515.90000001</v>
      </c>
    </row>
    <row r="33" spans="2:14" ht="19.7" customHeight="1" x14ac:dyDescent="0.25">
      <c r="B33" s="230">
        <v>26</v>
      </c>
      <c r="C33" s="254" t="s">
        <v>266</v>
      </c>
      <c r="D33" s="219">
        <v>300000</v>
      </c>
      <c r="E33" s="219">
        <v>140000</v>
      </c>
      <c r="F33" s="219">
        <v>140000</v>
      </c>
      <c r="G33" s="219">
        <v>10400000</v>
      </c>
      <c r="H33" s="219">
        <v>6500000</v>
      </c>
      <c r="I33" s="219">
        <v>0</v>
      </c>
      <c r="J33" s="219">
        <v>520000</v>
      </c>
      <c r="K33" s="219">
        <v>0</v>
      </c>
      <c r="L33" s="219">
        <v>0</v>
      </c>
      <c r="M33" s="219">
        <v>13333505</v>
      </c>
      <c r="N33" s="219">
        <f t="shared" si="0"/>
        <v>31333505</v>
      </c>
    </row>
    <row r="34" spans="2:14" ht="19.7" customHeight="1" x14ac:dyDescent="0.25">
      <c r="B34" s="230">
        <v>27</v>
      </c>
      <c r="C34" s="254" t="s">
        <v>267</v>
      </c>
      <c r="D34" s="219">
        <v>300000</v>
      </c>
      <c r="E34" s="219">
        <v>140000</v>
      </c>
      <c r="F34" s="219">
        <v>140000</v>
      </c>
      <c r="G34" s="219">
        <v>10400000</v>
      </c>
      <c r="H34" s="219">
        <v>6500000</v>
      </c>
      <c r="I34" s="219">
        <v>0</v>
      </c>
      <c r="J34" s="219">
        <v>520000</v>
      </c>
      <c r="K34" s="219">
        <v>0</v>
      </c>
      <c r="L34" s="219">
        <v>0</v>
      </c>
      <c r="M34" s="219">
        <v>13333505</v>
      </c>
      <c r="N34" s="219">
        <f t="shared" si="0"/>
        <v>31333505</v>
      </c>
    </row>
    <row r="35" spans="2:14" ht="19.7" customHeight="1" x14ac:dyDescent="0.25">
      <c r="B35" s="230">
        <v>28</v>
      </c>
      <c r="C35" s="254" t="s">
        <v>268</v>
      </c>
      <c r="D35" s="219">
        <v>300000</v>
      </c>
      <c r="E35" s="219">
        <v>0</v>
      </c>
      <c r="F35" s="219">
        <v>140000</v>
      </c>
      <c r="G35" s="219">
        <v>10400000</v>
      </c>
      <c r="H35" s="219">
        <v>6500000</v>
      </c>
      <c r="I35" s="219">
        <v>0</v>
      </c>
      <c r="J35" s="219">
        <v>520000</v>
      </c>
      <c r="K35" s="219">
        <v>0</v>
      </c>
      <c r="L35" s="219">
        <v>0</v>
      </c>
      <c r="M35" s="219">
        <v>13333505</v>
      </c>
      <c r="N35" s="219">
        <f t="shared" si="0"/>
        <v>31193505</v>
      </c>
    </row>
    <row r="36" spans="2:14" ht="19.7" customHeight="1" x14ac:dyDescent="0.25">
      <c r="B36" s="230">
        <v>29</v>
      </c>
      <c r="C36" s="254" t="s">
        <v>269</v>
      </c>
      <c r="D36" s="219">
        <v>300000</v>
      </c>
      <c r="E36" s="219">
        <v>0</v>
      </c>
      <c r="F36" s="219">
        <v>140000</v>
      </c>
      <c r="G36" s="219">
        <v>10400000</v>
      </c>
      <c r="H36" s="219">
        <v>6500000</v>
      </c>
      <c r="I36" s="219">
        <v>0</v>
      </c>
      <c r="J36" s="219">
        <v>520000</v>
      </c>
      <c r="K36" s="219">
        <v>0</v>
      </c>
      <c r="L36" s="219">
        <v>0</v>
      </c>
      <c r="M36" s="219">
        <v>13333505</v>
      </c>
      <c r="N36" s="219">
        <f t="shared" si="0"/>
        <v>31193505</v>
      </c>
    </row>
    <row r="37" spans="2:14" ht="19.7" customHeight="1" x14ac:dyDescent="0.25">
      <c r="B37" s="230">
        <v>30</v>
      </c>
      <c r="C37" s="254" t="s">
        <v>270</v>
      </c>
      <c r="D37" s="219">
        <v>300000</v>
      </c>
      <c r="E37" s="219">
        <v>0</v>
      </c>
      <c r="F37" s="219">
        <v>140000</v>
      </c>
      <c r="G37" s="219">
        <v>10400000</v>
      </c>
      <c r="H37" s="219">
        <v>6500000</v>
      </c>
      <c r="I37" s="219">
        <v>0</v>
      </c>
      <c r="J37" s="219">
        <v>520000</v>
      </c>
      <c r="K37" s="219">
        <v>0</v>
      </c>
      <c r="L37" s="219">
        <v>0</v>
      </c>
      <c r="M37" s="219">
        <v>13333505</v>
      </c>
      <c r="N37" s="219">
        <f t="shared" si="0"/>
        <v>31193505</v>
      </c>
    </row>
    <row r="38" spans="2:14" ht="19.7" customHeight="1" x14ac:dyDescent="0.25">
      <c r="B38" s="230">
        <v>31</v>
      </c>
      <c r="C38" s="254" t="s">
        <v>271</v>
      </c>
      <c r="D38" s="219">
        <v>300000</v>
      </c>
      <c r="E38" s="219">
        <v>140000</v>
      </c>
      <c r="F38" s="219">
        <v>140000</v>
      </c>
      <c r="G38" s="219">
        <v>10400000</v>
      </c>
      <c r="H38" s="219">
        <v>6500000</v>
      </c>
      <c r="I38" s="219">
        <v>0</v>
      </c>
      <c r="J38" s="219">
        <v>520000</v>
      </c>
      <c r="K38" s="219">
        <v>0</v>
      </c>
      <c r="L38" s="219">
        <v>0</v>
      </c>
      <c r="M38" s="219">
        <v>13333505</v>
      </c>
      <c r="N38" s="219">
        <f t="shared" si="0"/>
        <v>31333505</v>
      </c>
    </row>
    <row r="39" spans="2:14" ht="19.7" customHeight="1" x14ac:dyDescent="0.25">
      <c r="B39" s="230">
        <v>32</v>
      </c>
      <c r="C39" s="254" t="s">
        <v>272</v>
      </c>
      <c r="D39" s="219">
        <v>300000</v>
      </c>
      <c r="E39" s="219">
        <v>0</v>
      </c>
      <c r="F39" s="219">
        <v>140000</v>
      </c>
      <c r="G39" s="219">
        <v>10400000</v>
      </c>
      <c r="H39" s="219">
        <v>6500000</v>
      </c>
      <c r="I39" s="219">
        <v>0</v>
      </c>
      <c r="J39" s="219">
        <v>520000</v>
      </c>
      <c r="K39" s="219">
        <v>0</v>
      </c>
      <c r="L39" s="219">
        <v>0</v>
      </c>
      <c r="M39" s="219">
        <v>13333505</v>
      </c>
      <c r="N39" s="219">
        <f t="shared" si="0"/>
        <v>31193505</v>
      </c>
    </row>
    <row r="40" spans="2:14" ht="19.7" customHeight="1" x14ac:dyDescent="0.25">
      <c r="B40" s="230">
        <v>33</v>
      </c>
      <c r="C40" s="254" t="s">
        <v>273</v>
      </c>
      <c r="D40" s="219">
        <v>300000</v>
      </c>
      <c r="E40" s="219">
        <v>140000</v>
      </c>
      <c r="F40" s="219">
        <v>140000</v>
      </c>
      <c r="G40" s="219">
        <v>10400000</v>
      </c>
      <c r="H40" s="219">
        <v>6500000</v>
      </c>
      <c r="I40" s="219">
        <v>0</v>
      </c>
      <c r="J40" s="219">
        <v>520000</v>
      </c>
      <c r="K40" s="219">
        <v>0</v>
      </c>
      <c r="L40" s="219">
        <v>0</v>
      </c>
      <c r="M40" s="219">
        <v>13333505</v>
      </c>
      <c r="N40" s="219">
        <f t="shared" si="0"/>
        <v>31333505</v>
      </c>
    </row>
    <row r="41" spans="2:14" ht="19.7" customHeight="1" x14ac:dyDescent="0.25">
      <c r="B41" s="230">
        <v>34</v>
      </c>
      <c r="C41" s="254" t="s">
        <v>274</v>
      </c>
      <c r="D41" s="219">
        <v>300000</v>
      </c>
      <c r="E41" s="219">
        <v>0</v>
      </c>
      <c r="F41" s="219">
        <v>140000</v>
      </c>
      <c r="G41" s="219">
        <v>10400000</v>
      </c>
      <c r="H41" s="219">
        <v>6500000</v>
      </c>
      <c r="I41" s="219">
        <v>0</v>
      </c>
      <c r="J41" s="219">
        <v>520000</v>
      </c>
      <c r="K41" s="219">
        <v>0</v>
      </c>
      <c r="L41" s="219">
        <v>0</v>
      </c>
      <c r="M41" s="219">
        <v>13333505</v>
      </c>
      <c r="N41" s="219">
        <f t="shared" si="0"/>
        <v>31193505</v>
      </c>
    </row>
    <row r="42" spans="2:14" ht="19.7" customHeight="1" x14ac:dyDescent="0.25">
      <c r="B42" s="230">
        <v>35</v>
      </c>
      <c r="C42" s="254" t="s">
        <v>275</v>
      </c>
      <c r="D42" s="219">
        <v>300000</v>
      </c>
      <c r="E42" s="219">
        <v>0</v>
      </c>
      <c r="F42" s="219">
        <v>140000</v>
      </c>
      <c r="G42" s="219">
        <v>10400000</v>
      </c>
      <c r="H42" s="219">
        <v>6500000</v>
      </c>
      <c r="I42" s="219">
        <v>0</v>
      </c>
      <c r="J42" s="219">
        <v>520000</v>
      </c>
      <c r="K42" s="219">
        <v>0</v>
      </c>
      <c r="L42" s="219">
        <v>0</v>
      </c>
      <c r="M42" s="219">
        <v>13333505</v>
      </c>
      <c r="N42" s="219">
        <f t="shared" si="0"/>
        <v>31193505</v>
      </c>
    </row>
    <row r="43" spans="2:14" ht="19.7" customHeight="1" x14ac:dyDescent="0.25">
      <c r="B43" s="230">
        <v>36</v>
      </c>
      <c r="C43" s="254" t="s">
        <v>296</v>
      </c>
      <c r="D43" s="219">
        <v>1500000</v>
      </c>
      <c r="E43" s="219">
        <v>2240000</v>
      </c>
      <c r="F43" s="219">
        <v>2240000</v>
      </c>
      <c r="G43" s="219">
        <v>19500000</v>
      </c>
      <c r="H43" s="219">
        <v>15000000</v>
      </c>
      <c r="I43" s="219">
        <v>10400000</v>
      </c>
      <c r="J43" s="219">
        <v>16000000</v>
      </c>
      <c r="K43" s="219">
        <v>10400000</v>
      </c>
      <c r="L43" s="219">
        <v>17777406.150000002</v>
      </c>
      <c r="M43" s="219">
        <v>26666109.75</v>
      </c>
      <c r="N43" s="219">
        <f t="shared" si="0"/>
        <v>121723515.90000001</v>
      </c>
    </row>
    <row r="44" spans="2:14" ht="19.7" customHeight="1" x14ac:dyDescent="0.25">
      <c r="B44" s="230">
        <v>37</v>
      </c>
      <c r="C44" s="254" t="s">
        <v>277</v>
      </c>
      <c r="D44" s="219">
        <v>1500000</v>
      </c>
      <c r="E44" s="219">
        <v>2240000</v>
      </c>
      <c r="F44" s="219">
        <v>2240000</v>
      </c>
      <c r="G44" s="219">
        <v>19500000</v>
      </c>
      <c r="H44" s="219">
        <v>15000000</v>
      </c>
      <c r="I44" s="219">
        <v>10400000</v>
      </c>
      <c r="J44" s="219">
        <v>16000000</v>
      </c>
      <c r="K44" s="219">
        <v>10400000</v>
      </c>
      <c r="L44" s="219">
        <v>17777406.150000002</v>
      </c>
      <c r="M44" s="219">
        <v>26666109.75</v>
      </c>
      <c r="N44" s="219">
        <f t="shared" si="0"/>
        <v>121723515.90000001</v>
      </c>
    </row>
    <row r="45" spans="2:14" ht="19.7" customHeight="1" x14ac:dyDescent="0.25">
      <c r="B45" s="230">
        <v>38</v>
      </c>
      <c r="C45" s="254" t="s">
        <v>278</v>
      </c>
      <c r="D45" s="219">
        <v>1500000</v>
      </c>
      <c r="E45" s="219">
        <v>2240000</v>
      </c>
      <c r="F45" s="219">
        <v>2240000</v>
      </c>
      <c r="G45" s="219">
        <v>19500000</v>
      </c>
      <c r="H45" s="219">
        <v>15000000</v>
      </c>
      <c r="I45" s="219">
        <v>10400000</v>
      </c>
      <c r="J45" s="219">
        <v>16000000</v>
      </c>
      <c r="K45" s="219">
        <v>10400000</v>
      </c>
      <c r="L45" s="219">
        <v>17777406.150000002</v>
      </c>
      <c r="M45" s="219">
        <v>26666109.75</v>
      </c>
      <c r="N45" s="219">
        <f t="shared" si="0"/>
        <v>121723515.90000001</v>
      </c>
    </row>
    <row r="46" spans="2:14" ht="19.7" customHeight="1" x14ac:dyDescent="0.25">
      <c r="B46" s="230">
        <v>39</v>
      </c>
      <c r="C46" s="258" t="s">
        <v>279</v>
      </c>
      <c r="D46" s="219">
        <v>300000</v>
      </c>
      <c r="E46" s="219">
        <v>0</v>
      </c>
      <c r="F46" s="219">
        <v>140000</v>
      </c>
      <c r="G46" s="219">
        <v>10400000</v>
      </c>
      <c r="H46" s="219">
        <v>6500000</v>
      </c>
      <c r="I46" s="219">
        <v>0</v>
      </c>
      <c r="J46" s="219">
        <v>520000</v>
      </c>
      <c r="K46" s="219">
        <v>0</v>
      </c>
      <c r="L46" s="219">
        <v>0</v>
      </c>
      <c r="M46" s="219">
        <v>13333505</v>
      </c>
      <c r="N46" s="219">
        <f t="shared" si="0"/>
        <v>31193505</v>
      </c>
    </row>
    <row r="47" spans="2:14" ht="19.7" customHeight="1" x14ac:dyDescent="0.25">
      <c r="B47" s="230">
        <v>40</v>
      </c>
      <c r="C47" s="254" t="s">
        <v>280</v>
      </c>
      <c r="D47" s="219">
        <v>1500000</v>
      </c>
      <c r="E47" s="219">
        <v>2240000</v>
      </c>
      <c r="F47" s="219">
        <v>140000</v>
      </c>
      <c r="G47" s="219">
        <v>0</v>
      </c>
      <c r="H47" s="219">
        <v>0</v>
      </c>
      <c r="I47" s="219">
        <v>0</v>
      </c>
      <c r="J47" s="219">
        <v>520000</v>
      </c>
      <c r="K47" s="219">
        <v>0</v>
      </c>
      <c r="L47" s="219">
        <v>0</v>
      </c>
      <c r="M47" s="219">
        <v>0</v>
      </c>
      <c r="N47" s="219">
        <f t="shared" si="0"/>
        <v>4400000</v>
      </c>
    </row>
    <row r="48" spans="2:14" ht="19.7" customHeight="1" x14ac:dyDescent="0.25">
      <c r="B48" s="230"/>
      <c r="C48" s="279" t="s">
        <v>297</v>
      </c>
      <c r="D48" s="224">
        <f>SUM(D5:D47)</f>
        <v>18900000</v>
      </c>
      <c r="E48" s="224">
        <f t="shared" ref="E48:N48" si="1">SUM(E5:E47)</f>
        <v>17220000</v>
      </c>
      <c r="F48" s="224">
        <f t="shared" si="1"/>
        <v>15960000</v>
      </c>
      <c r="G48" s="224">
        <f t="shared" si="1"/>
        <v>449800000</v>
      </c>
      <c r="H48" s="224">
        <f t="shared" si="1"/>
        <v>298000000</v>
      </c>
      <c r="I48" s="224">
        <f t="shared" si="1"/>
        <v>72800000</v>
      </c>
      <c r="J48" s="224">
        <f t="shared" si="1"/>
        <v>113160000</v>
      </c>
      <c r="K48" s="224">
        <f t="shared" si="1"/>
        <v>62400000</v>
      </c>
      <c r="L48" s="224">
        <f t="shared" si="1"/>
        <v>106664436.90000002</v>
      </c>
      <c r="M48" s="224">
        <f t="shared" si="1"/>
        <v>586668818.5</v>
      </c>
      <c r="N48" s="224">
        <f t="shared" si="1"/>
        <v>1741573255.4000001</v>
      </c>
    </row>
    <row r="49" spans="2:14" ht="19.7" customHeight="1" x14ac:dyDescent="0.25">
      <c r="B49" s="610"/>
      <c r="C49" s="259"/>
      <c r="D49" s="225"/>
      <c r="E49" s="225"/>
      <c r="F49" s="225"/>
      <c r="G49" s="225"/>
      <c r="H49" s="225"/>
      <c r="I49" s="225"/>
      <c r="J49" s="225"/>
      <c r="K49" s="225"/>
      <c r="L49" s="903" t="s">
        <v>282</v>
      </c>
      <c r="M49" s="903"/>
      <c r="N49" s="224">
        <f>N48*0.16</f>
        <v>278651720.86400002</v>
      </c>
    </row>
    <row r="50" spans="2:14" ht="19.7" customHeight="1" x14ac:dyDescent="0.25">
      <c r="B50" s="610"/>
      <c r="C50" s="259"/>
      <c r="D50" s="225"/>
      <c r="E50" s="225"/>
      <c r="F50" s="225"/>
      <c r="G50" s="225"/>
      <c r="H50" s="225"/>
      <c r="I50" s="225"/>
      <c r="J50" s="225"/>
      <c r="K50" s="225"/>
      <c r="L50" s="903" t="s">
        <v>161</v>
      </c>
      <c r="M50" s="903"/>
      <c r="N50" s="224">
        <f>SUM(N48:N49)</f>
        <v>2020224976.2640002</v>
      </c>
    </row>
    <row r="51" spans="2:14" ht="19.7" customHeight="1" x14ac:dyDescent="0.25">
      <c r="B51" s="610"/>
      <c r="C51" s="259"/>
      <c r="D51" s="225"/>
      <c r="E51" s="225"/>
      <c r="F51" s="225"/>
      <c r="G51" s="225"/>
      <c r="H51" s="225"/>
      <c r="I51" s="225"/>
      <c r="J51" s="225"/>
      <c r="K51" s="225"/>
      <c r="L51" s="903" t="s">
        <v>583</v>
      </c>
      <c r="M51" s="903"/>
      <c r="N51" s="224">
        <f>N50*0.7</f>
        <v>1414157483.3848</v>
      </c>
    </row>
  </sheetData>
  <mergeCells count="4">
    <mergeCell ref="B3:N3"/>
    <mergeCell ref="L49:M49"/>
    <mergeCell ref="L50:M50"/>
    <mergeCell ref="L51:M51"/>
  </mergeCells>
  <pageMargins left="0.7" right="0.7" top="0.75" bottom="0.75" header="0.3" footer="0.3"/>
  <pageSetup paperSize="5" scale="90" orientation="landscape" r:id="rId1"/>
  <headerFooter>
    <oddFooter xml:space="preserve">&amp;C
</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5:J18"/>
  <sheetViews>
    <sheetView view="pageLayout" zoomScaleNormal="100" workbookViewId="0">
      <selection activeCell="J19" sqref="J19"/>
    </sheetView>
  </sheetViews>
  <sheetFormatPr baseColWidth="10" defaultRowHeight="15" x14ac:dyDescent="0.25"/>
  <cols>
    <col min="1" max="1" width="11.42578125" style="113"/>
    <col min="2" max="2" width="5.7109375" style="113" bestFit="1" customWidth="1"/>
    <col min="3" max="3" width="54.42578125" style="113" customWidth="1"/>
    <col min="4" max="4" width="10.5703125" style="262" customWidth="1"/>
    <col min="5" max="5" width="10.28515625" style="113" customWidth="1"/>
    <col min="6" max="6" width="10" style="113" bestFit="1" customWidth="1"/>
    <col min="7" max="7" width="13.42578125" style="262" customWidth="1"/>
    <col min="8" max="16384" width="11.42578125" style="113"/>
  </cols>
  <sheetData>
    <row r="5" spans="2:10" x14ac:dyDescent="0.25">
      <c r="B5" s="872" t="s">
        <v>1846</v>
      </c>
      <c r="C5" s="872"/>
      <c r="D5" s="872"/>
      <c r="E5" s="872"/>
      <c r="F5" s="872"/>
      <c r="G5" s="872"/>
      <c r="H5" s="872"/>
      <c r="I5" s="872"/>
      <c r="J5" s="872"/>
    </row>
    <row r="6" spans="2:10" s="637" customFormat="1" ht="91.5" customHeight="1" x14ac:dyDescent="0.25">
      <c r="B6" s="207" t="s">
        <v>299</v>
      </c>
      <c r="C6" s="580" t="s">
        <v>0</v>
      </c>
      <c r="D6" s="580" t="s">
        <v>1852</v>
      </c>
      <c r="E6" s="580" t="s">
        <v>285</v>
      </c>
      <c r="F6" s="580" t="s">
        <v>284</v>
      </c>
      <c r="G6" s="529" t="s">
        <v>1853</v>
      </c>
      <c r="H6" s="580" t="s">
        <v>285</v>
      </c>
      <c r="I6" s="580" t="s">
        <v>284</v>
      </c>
      <c r="J6" s="580" t="s">
        <v>164</v>
      </c>
    </row>
    <row r="7" spans="2:10" ht="18" customHeight="1" x14ac:dyDescent="0.25">
      <c r="B7" s="363">
        <v>1</v>
      </c>
      <c r="C7" s="185" t="s">
        <v>1879</v>
      </c>
      <c r="D7" s="144">
        <v>82</v>
      </c>
      <c r="E7" s="186">
        <v>131897</v>
      </c>
      <c r="F7" s="186">
        <f>D7*E7</f>
        <v>10815554</v>
      </c>
      <c r="G7" s="144">
        <v>50</v>
      </c>
      <c r="H7" s="186">
        <v>19828</v>
      </c>
      <c r="I7" s="186">
        <f>G7*H7</f>
        <v>991400</v>
      </c>
      <c r="J7" s="186">
        <f>+I7+F7</f>
        <v>11806954</v>
      </c>
    </row>
    <row r="8" spans="2:10" ht="18" customHeight="1" x14ac:dyDescent="0.25">
      <c r="B8" s="483">
        <v>2</v>
      </c>
      <c r="C8" s="185" t="s">
        <v>1878</v>
      </c>
      <c r="D8" s="144"/>
      <c r="E8" s="186">
        <v>365800</v>
      </c>
      <c r="F8" s="186">
        <f t="shared" ref="F8:F14" si="0">D8*E8</f>
        <v>0</v>
      </c>
      <c r="G8" s="144"/>
      <c r="H8" s="186"/>
      <c r="I8" s="186">
        <f t="shared" ref="I8:I14" si="1">G8*H8</f>
        <v>0</v>
      </c>
      <c r="J8" s="186">
        <f t="shared" ref="J8:J14" si="2">+I8+F8</f>
        <v>0</v>
      </c>
    </row>
    <row r="9" spans="2:10" ht="18" customHeight="1" x14ac:dyDescent="0.25">
      <c r="B9" s="363">
        <v>2</v>
      </c>
      <c r="C9" s="185" t="s">
        <v>301</v>
      </c>
      <c r="D9" s="144">
        <v>4</v>
      </c>
      <c r="E9" s="186"/>
      <c r="F9" s="186">
        <f t="shared" si="0"/>
        <v>0</v>
      </c>
      <c r="G9" s="144"/>
      <c r="H9" s="186"/>
      <c r="I9" s="186">
        <f t="shared" si="1"/>
        <v>0</v>
      </c>
      <c r="J9" s="186">
        <f t="shared" si="2"/>
        <v>0</v>
      </c>
    </row>
    <row r="10" spans="2:10" ht="18" customHeight="1" x14ac:dyDescent="0.25">
      <c r="B10" s="363">
        <v>3</v>
      </c>
      <c r="C10" s="185" t="s">
        <v>303</v>
      </c>
      <c r="D10" s="144">
        <v>97</v>
      </c>
      <c r="E10" s="186">
        <v>14655</v>
      </c>
      <c r="F10" s="186">
        <f t="shared" si="0"/>
        <v>1421535</v>
      </c>
      <c r="G10" s="144"/>
      <c r="H10" s="186"/>
      <c r="I10" s="186">
        <f t="shared" si="1"/>
        <v>0</v>
      </c>
      <c r="J10" s="186">
        <f t="shared" si="2"/>
        <v>1421535</v>
      </c>
    </row>
    <row r="11" spans="2:10" ht="18" customHeight="1" x14ac:dyDescent="0.25">
      <c r="B11" s="363">
        <v>4</v>
      </c>
      <c r="C11" s="185" t="s">
        <v>1854</v>
      </c>
      <c r="D11" s="144">
        <v>10</v>
      </c>
      <c r="E11" s="186">
        <v>10345</v>
      </c>
      <c r="F11" s="186">
        <f t="shared" si="0"/>
        <v>103450</v>
      </c>
      <c r="G11" s="144"/>
      <c r="H11" s="186"/>
      <c r="I11" s="186">
        <f t="shared" si="1"/>
        <v>0</v>
      </c>
      <c r="J11" s="186">
        <f t="shared" si="2"/>
        <v>103450</v>
      </c>
    </row>
    <row r="12" spans="2:10" ht="18" customHeight="1" x14ac:dyDescent="0.25">
      <c r="B12" s="363">
        <v>5</v>
      </c>
      <c r="C12" s="185" t="s">
        <v>1845</v>
      </c>
      <c r="D12" s="144">
        <v>40</v>
      </c>
      <c r="E12" s="186">
        <v>14655</v>
      </c>
      <c r="F12" s="186">
        <f t="shared" si="0"/>
        <v>586200</v>
      </c>
      <c r="G12" s="144"/>
      <c r="H12" s="186"/>
      <c r="I12" s="186">
        <f t="shared" si="1"/>
        <v>0</v>
      </c>
      <c r="J12" s="186">
        <f t="shared" si="2"/>
        <v>586200</v>
      </c>
    </row>
    <row r="13" spans="2:10" ht="18" customHeight="1" x14ac:dyDescent="0.25">
      <c r="B13" s="363">
        <v>6</v>
      </c>
      <c r="C13" s="185" t="s">
        <v>304</v>
      </c>
      <c r="D13" s="144">
        <v>17</v>
      </c>
      <c r="E13" s="186">
        <v>18966</v>
      </c>
      <c r="F13" s="186">
        <f t="shared" si="0"/>
        <v>322422</v>
      </c>
      <c r="G13" s="144"/>
      <c r="H13" s="186"/>
      <c r="I13" s="186">
        <f t="shared" si="1"/>
        <v>0</v>
      </c>
      <c r="J13" s="186">
        <f t="shared" si="2"/>
        <v>322422</v>
      </c>
    </row>
    <row r="14" spans="2:10" ht="18" customHeight="1" x14ac:dyDescent="0.25">
      <c r="B14" s="363">
        <v>7</v>
      </c>
      <c r="C14" s="185" t="s">
        <v>1855</v>
      </c>
      <c r="D14" s="144">
        <v>1</v>
      </c>
      <c r="E14" s="186">
        <v>15000000</v>
      </c>
      <c r="F14" s="186">
        <f t="shared" si="0"/>
        <v>15000000</v>
      </c>
      <c r="G14" s="144"/>
      <c r="H14" s="186"/>
      <c r="I14" s="186">
        <f t="shared" si="1"/>
        <v>0</v>
      </c>
      <c r="J14" s="186">
        <f t="shared" si="2"/>
        <v>15000000</v>
      </c>
    </row>
    <row r="15" spans="2:10" ht="18" customHeight="1" x14ac:dyDescent="0.25">
      <c r="B15" s="213"/>
      <c r="C15" s="188"/>
      <c r="D15" s="327"/>
      <c r="E15" s="486"/>
      <c r="F15" s="486"/>
      <c r="G15" s="960" t="s">
        <v>284</v>
      </c>
      <c r="H15" s="976"/>
      <c r="I15" s="961"/>
      <c r="J15" s="151">
        <f>SUM(J7:J14)</f>
        <v>29240561</v>
      </c>
    </row>
    <row r="16" spans="2:10" ht="18" customHeight="1" x14ac:dyDescent="0.25">
      <c r="B16" s="194"/>
      <c r="C16" s="190"/>
      <c r="D16" s="482"/>
      <c r="E16" s="510"/>
      <c r="F16" s="510"/>
      <c r="G16" s="960" t="s">
        <v>159</v>
      </c>
      <c r="H16" s="976"/>
      <c r="I16" s="961"/>
      <c r="J16" s="151">
        <f>J15*0.16</f>
        <v>4678489.76</v>
      </c>
    </row>
    <row r="17" spans="2:10" ht="18" customHeight="1" x14ac:dyDescent="0.25">
      <c r="B17" s="194"/>
      <c r="C17" s="190"/>
      <c r="D17" s="482"/>
      <c r="E17" s="510"/>
      <c r="F17" s="510"/>
      <c r="G17" s="960" t="s">
        <v>298</v>
      </c>
      <c r="H17" s="976"/>
      <c r="I17" s="961"/>
      <c r="J17" s="151">
        <f>SUM(J15:J16)</f>
        <v>33919050.759999998</v>
      </c>
    </row>
    <row r="18" spans="2:10" x14ac:dyDescent="0.25">
      <c r="G18" s="960" t="s">
        <v>583</v>
      </c>
      <c r="H18" s="976"/>
      <c r="I18" s="961"/>
      <c r="J18" s="151">
        <f>J17*0.7</f>
        <v>23743335.531999998</v>
      </c>
    </row>
  </sheetData>
  <mergeCells count="5">
    <mergeCell ref="B5:J5"/>
    <mergeCell ref="G15:I15"/>
    <mergeCell ref="G16:I16"/>
    <mergeCell ref="G17:I17"/>
    <mergeCell ref="G18:I18"/>
  </mergeCells>
  <pageMargins left="0.7" right="0.7" top="0.75" bottom="0.75" header="0.3" footer="0.3"/>
  <pageSetup paperSize="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00B0F0"/>
  </sheetPr>
  <dimension ref="A3:N51"/>
  <sheetViews>
    <sheetView view="pageLayout" topLeftCell="B7" workbookViewId="0">
      <selection activeCell="G56" sqref="G56"/>
    </sheetView>
  </sheetViews>
  <sheetFormatPr baseColWidth="10" defaultRowHeight="15" x14ac:dyDescent="0.25"/>
  <cols>
    <col min="1" max="1" width="6.7109375" style="262" customWidth="1"/>
    <col min="2" max="2" width="20.140625" style="113" customWidth="1"/>
    <col min="3" max="3" width="14.5703125" style="113" customWidth="1"/>
    <col min="4" max="4" width="13.7109375" style="113" bestFit="1" customWidth="1"/>
    <col min="5" max="5" width="13.28515625" style="113" bestFit="1" customWidth="1"/>
    <col min="6" max="6" width="11.7109375" style="113" bestFit="1" customWidth="1"/>
    <col min="7" max="7" width="11.28515625" style="113" customWidth="1"/>
    <col min="8" max="8" width="10.85546875" style="113" bestFit="1" customWidth="1"/>
    <col min="9" max="11" width="10.85546875" style="113" customWidth="1"/>
    <col min="12" max="12" width="11.140625" style="113" bestFit="1" customWidth="1"/>
    <col min="13" max="13" width="11.140625" style="113" customWidth="1"/>
    <col min="14" max="14" width="13.28515625" style="113" customWidth="1"/>
    <col min="15" max="15" width="10.140625" style="113" bestFit="1" customWidth="1"/>
    <col min="16" max="16" width="11.28515625" style="113" customWidth="1"/>
    <col min="17" max="17" width="10.140625" style="113" bestFit="1" customWidth="1"/>
    <col min="18" max="18" width="10" style="113" customWidth="1"/>
    <col min="19" max="19" width="14.140625" style="113" customWidth="1"/>
    <col min="20" max="16384" width="11.42578125" style="113"/>
  </cols>
  <sheetData>
    <row r="3" spans="1:14" x14ac:dyDescent="0.25">
      <c r="A3" s="903" t="s">
        <v>1909</v>
      </c>
      <c r="B3" s="903"/>
      <c r="C3" s="903"/>
      <c r="D3" s="903"/>
      <c r="E3" s="903"/>
      <c r="F3" s="903"/>
      <c r="G3" s="903"/>
      <c r="H3" s="903"/>
      <c r="I3" s="903"/>
      <c r="J3" s="903"/>
      <c r="K3" s="903"/>
      <c r="L3" s="903"/>
      <c r="M3" s="903"/>
      <c r="N3" s="903"/>
    </row>
    <row r="4" spans="1:14" s="661" customFormat="1" ht="103.5" customHeight="1" x14ac:dyDescent="0.25">
      <c r="A4" s="218" t="s">
        <v>305</v>
      </c>
      <c r="B4" s="218" t="s">
        <v>287</v>
      </c>
      <c r="C4" s="217" t="s">
        <v>1470</v>
      </c>
      <c r="D4" s="217" t="s">
        <v>1471</v>
      </c>
      <c r="E4" s="217" t="s">
        <v>1472</v>
      </c>
      <c r="F4" s="218" t="s">
        <v>1473</v>
      </c>
      <c r="G4" s="218" t="s">
        <v>1474</v>
      </c>
      <c r="H4" s="217" t="s">
        <v>1475</v>
      </c>
      <c r="I4" s="217" t="s">
        <v>1476</v>
      </c>
      <c r="J4" s="217" t="s">
        <v>1477</v>
      </c>
      <c r="K4" s="217" t="s">
        <v>1478</v>
      </c>
      <c r="L4" s="217" t="s">
        <v>1479</v>
      </c>
      <c r="M4" s="217" t="s">
        <v>1480</v>
      </c>
      <c r="N4" s="217" t="s">
        <v>1460</v>
      </c>
    </row>
    <row r="5" spans="1:14" x14ac:dyDescent="0.25">
      <c r="A5" s="563">
        <v>1</v>
      </c>
      <c r="B5" s="222" t="s">
        <v>241</v>
      </c>
      <c r="C5" s="219">
        <v>1707881.8765136399</v>
      </c>
      <c r="D5" s="219">
        <v>371387.10000000003</v>
      </c>
      <c r="E5" s="219">
        <v>636663.6</v>
      </c>
      <c r="F5" s="219">
        <v>53055.3</v>
      </c>
      <c r="G5" s="219">
        <v>159165.9</v>
      </c>
      <c r="H5" s="219">
        <v>106110.6</v>
      </c>
      <c r="I5" s="219">
        <v>477497.7</v>
      </c>
      <c r="J5" s="219">
        <v>106110.6</v>
      </c>
      <c r="K5" s="219">
        <v>106110.6</v>
      </c>
      <c r="L5" s="219">
        <v>212221.2</v>
      </c>
      <c r="M5" s="219">
        <v>212221.2</v>
      </c>
      <c r="N5" s="219">
        <f>SUM(C5:M5)</f>
        <v>4148425.6765136407</v>
      </c>
    </row>
    <row r="6" spans="1:14" x14ac:dyDescent="0.25">
      <c r="A6" s="563">
        <v>2</v>
      </c>
      <c r="B6" s="222" t="s">
        <v>242</v>
      </c>
      <c r="C6" s="219">
        <v>7816663.759928341</v>
      </c>
      <c r="D6" s="219">
        <v>3183318</v>
      </c>
      <c r="E6" s="219">
        <v>636663.6</v>
      </c>
      <c r="F6" s="219">
        <v>424442.4</v>
      </c>
      <c r="G6" s="219">
        <v>1273327.2</v>
      </c>
      <c r="H6" s="219">
        <v>106110.6</v>
      </c>
      <c r="I6" s="219">
        <v>1909990.8</v>
      </c>
      <c r="J6" s="219">
        <v>848884.8</v>
      </c>
      <c r="K6" s="219">
        <v>848884.8</v>
      </c>
      <c r="L6" s="219">
        <v>1697769.6</v>
      </c>
      <c r="M6" s="219">
        <v>424442.4</v>
      </c>
      <c r="N6" s="219">
        <f t="shared" ref="N6:N49" si="0">SUM(C6:M6)</f>
        <v>19170497.959928341</v>
      </c>
    </row>
    <row r="7" spans="1:14" x14ac:dyDescent="0.25">
      <c r="A7" s="563">
        <v>3</v>
      </c>
      <c r="B7" s="222" t="s">
        <v>243</v>
      </c>
      <c r="C7" s="219">
        <v>1707881.8765136399</v>
      </c>
      <c r="D7" s="219">
        <v>0</v>
      </c>
      <c r="E7" s="219">
        <v>636663.6</v>
      </c>
      <c r="F7" s="219">
        <v>53055.3</v>
      </c>
      <c r="G7" s="219">
        <v>159165.9</v>
      </c>
      <c r="H7" s="219">
        <v>106110.6</v>
      </c>
      <c r="I7" s="219">
        <v>477497.7</v>
      </c>
      <c r="J7" s="219">
        <v>106110.6</v>
      </c>
      <c r="K7" s="219">
        <v>106110.6</v>
      </c>
      <c r="L7" s="219">
        <v>212221.2</v>
      </c>
      <c r="M7" s="219">
        <v>212221.2</v>
      </c>
      <c r="N7" s="219">
        <f t="shared" si="0"/>
        <v>3777038.5765136406</v>
      </c>
    </row>
    <row r="8" spans="1:14" x14ac:dyDescent="0.25">
      <c r="A8" s="563">
        <v>4</v>
      </c>
      <c r="B8" s="222" t="s">
        <v>244</v>
      </c>
      <c r="C8" s="219">
        <v>2537223.6930922801</v>
      </c>
      <c r="D8" s="219">
        <v>371387.10000000003</v>
      </c>
      <c r="E8" s="219">
        <v>636663.6</v>
      </c>
      <c r="F8" s="219">
        <v>53055.3</v>
      </c>
      <c r="G8" s="219">
        <v>159165.9</v>
      </c>
      <c r="H8" s="219">
        <v>106110.6</v>
      </c>
      <c r="I8" s="219">
        <v>477497.7</v>
      </c>
      <c r="J8" s="219">
        <v>106110.6</v>
      </c>
      <c r="K8" s="219">
        <v>106110.6</v>
      </c>
      <c r="L8" s="219">
        <v>212221.2</v>
      </c>
      <c r="M8" s="219">
        <v>0</v>
      </c>
      <c r="N8" s="219">
        <f t="shared" si="0"/>
        <v>4765546.2930922797</v>
      </c>
    </row>
    <row r="9" spans="1:14" x14ac:dyDescent="0.25">
      <c r="A9" s="563">
        <v>5</v>
      </c>
      <c r="B9" s="222" t="s">
        <v>245</v>
      </c>
      <c r="C9" s="219">
        <v>1707881.8765136399</v>
      </c>
      <c r="D9" s="219">
        <v>0</v>
      </c>
      <c r="E9" s="219">
        <v>636663.6</v>
      </c>
      <c r="F9" s="219">
        <v>53055.3</v>
      </c>
      <c r="G9" s="219">
        <v>159165.9</v>
      </c>
      <c r="H9" s="219">
        <v>106110.6</v>
      </c>
      <c r="I9" s="219">
        <v>477497.7</v>
      </c>
      <c r="J9" s="219">
        <v>106110.6</v>
      </c>
      <c r="K9" s="219">
        <v>106110.6</v>
      </c>
      <c r="L9" s="219">
        <v>212221.2</v>
      </c>
      <c r="M9" s="219">
        <v>0</v>
      </c>
      <c r="N9" s="219">
        <f t="shared" si="0"/>
        <v>3564817.3765136404</v>
      </c>
    </row>
    <row r="10" spans="1:14" x14ac:dyDescent="0.25">
      <c r="A10" s="563">
        <v>6</v>
      </c>
      <c r="B10" s="222" t="s">
        <v>246</v>
      </c>
      <c r="C10" s="219">
        <v>7256740.8950631004</v>
      </c>
      <c r="D10" s="219">
        <v>371387.10000000003</v>
      </c>
      <c r="E10" s="219">
        <v>636663.6</v>
      </c>
      <c r="F10" s="219">
        <v>53055.3</v>
      </c>
      <c r="G10" s="219">
        <v>159165.9</v>
      </c>
      <c r="H10" s="219">
        <v>106110.6</v>
      </c>
      <c r="I10" s="219">
        <v>477497.7</v>
      </c>
      <c r="J10" s="219">
        <v>106110.6</v>
      </c>
      <c r="K10" s="219">
        <v>106110.6</v>
      </c>
      <c r="L10" s="219">
        <v>212221.2</v>
      </c>
      <c r="M10" s="219">
        <v>212221.2</v>
      </c>
      <c r="N10" s="219">
        <f t="shared" si="0"/>
        <v>9697284.6950630955</v>
      </c>
    </row>
    <row r="11" spans="1:14" x14ac:dyDescent="0.25">
      <c r="A11" s="563">
        <v>7</v>
      </c>
      <c r="B11" s="222" t="s">
        <v>526</v>
      </c>
      <c r="C11" s="219">
        <v>702832.0479479999</v>
      </c>
      <c r="D11" s="219">
        <v>0</v>
      </c>
      <c r="E11" s="219">
        <v>636663.6</v>
      </c>
      <c r="F11" s="219">
        <v>53055.3</v>
      </c>
      <c r="G11" s="219">
        <v>159165.9</v>
      </c>
      <c r="H11" s="219">
        <v>106110.6</v>
      </c>
      <c r="I11" s="219">
        <v>477497.7</v>
      </c>
      <c r="J11" s="219">
        <v>106110.6</v>
      </c>
      <c r="K11" s="219">
        <v>106110.6</v>
      </c>
      <c r="L11" s="219">
        <v>212221.2</v>
      </c>
      <c r="M11" s="219">
        <v>212221.2</v>
      </c>
      <c r="N11" s="219">
        <f t="shared" si="0"/>
        <v>2771988.7479480007</v>
      </c>
    </row>
    <row r="12" spans="1:14" x14ac:dyDescent="0.25">
      <c r="A12" s="563">
        <v>8</v>
      </c>
      <c r="B12" s="222" t="s">
        <v>248</v>
      </c>
      <c r="C12" s="219">
        <v>3303310.6253555999</v>
      </c>
      <c r="D12" s="219">
        <v>742774.20000000007</v>
      </c>
      <c r="E12" s="219">
        <v>636663.6</v>
      </c>
      <c r="F12" s="219">
        <v>53055.3</v>
      </c>
      <c r="G12" s="219">
        <v>159165.9</v>
      </c>
      <c r="H12" s="219">
        <v>106110.6</v>
      </c>
      <c r="I12" s="219">
        <v>477497.7</v>
      </c>
      <c r="J12" s="219">
        <v>106110.6</v>
      </c>
      <c r="K12" s="219">
        <v>106110.6</v>
      </c>
      <c r="L12" s="219">
        <v>212221.2</v>
      </c>
      <c r="M12" s="219">
        <v>212221.2</v>
      </c>
      <c r="N12" s="219">
        <f t="shared" si="0"/>
        <v>6115241.5253555998</v>
      </c>
    </row>
    <row r="13" spans="1:14" x14ac:dyDescent="0.25">
      <c r="A13" s="563">
        <v>9</v>
      </c>
      <c r="B13" s="223" t="s">
        <v>249</v>
      </c>
      <c r="C13" s="219">
        <v>1707881.8765136399</v>
      </c>
      <c r="D13" s="219">
        <v>0</v>
      </c>
      <c r="E13" s="219">
        <v>636663.6</v>
      </c>
      <c r="F13" s="219">
        <v>53055.3</v>
      </c>
      <c r="G13" s="219">
        <v>159165.9</v>
      </c>
      <c r="H13" s="219">
        <v>106110.6</v>
      </c>
      <c r="I13" s="219">
        <v>477497.7</v>
      </c>
      <c r="J13" s="219">
        <v>106110.6</v>
      </c>
      <c r="K13" s="219">
        <v>106110.6</v>
      </c>
      <c r="L13" s="219">
        <v>212221.2</v>
      </c>
      <c r="M13" s="219">
        <v>0</v>
      </c>
      <c r="N13" s="219">
        <f t="shared" si="0"/>
        <v>3564817.3765136404</v>
      </c>
    </row>
    <row r="14" spans="1:14" x14ac:dyDescent="0.25">
      <c r="A14" s="563">
        <v>10</v>
      </c>
      <c r="B14" s="222" t="s">
        <v>250</v>
      </c>
      <c r="C14" s="219">
        <v>7816663.759928341</v>
      </c>
      <c r="D14" s="219">
        <v>371387.10000000003</v>
      </c>
      <c r="E14" s="219">
        <v>636663.6</v>
      </c>
      <c r="F14" s="219">
        <v>53055.3</v>
      </c>
      <c r="G14" s="219">
        <v>159165.9</v>
      </c>
      <c r="H14" s="219">
        <v>106110.6</v>
      </c>
      <c r="I14" s="219">
        <v>477497.7</v>
      </c>
      <c r="J14" s="219">
        <v>106110.6</v>
      </c>
      <c r="K14" s="219">
        <v>106110.6</v>
      </c>
      <c r="L14" s="219">
        <v>212221.2</v>
      </c>
      <c r="M14" s="219">
        <v>212221.2</v>
      </c>
      <c r="N14" s="219">
        <f t="shared" si="0"/>
        <v>10257207.559928339</v>
      </c>
    </row>
    <row r="15" spans="1:14" x14ac:dyDescent="0.25">
      <c r="A15" s="563">
        <v>11</v>
      </c>
      <c r="B15" s="222" t="s">
        <v>251</v>
      </c>
      <c r="C15" s="219">
        <v>3303310.6253555999</v>
      </c>
      <c r="D15" s="219">
        <v>742774.20000000007</v>
      </c>
      <c r="E15" s="219">
        <v>636663.6</v>
      </c>
      <c r="F15" s="219">
        <v>53055.3</v>
      </c>
      <c r="G15" s="219">
        <v>159165.9</v>
      </c>
      <c r="H15" s="219">
        <v>106110.6</v>
      </c>
      <c r="I15" s="219">
        <v>477497.7</v>
      </c>
      <c r="J15" s="219">
        <v>106110.6</v>
      </c>
      <c r="K15" s="219">
        <v>106110.6</v>
      </c>
      <c r="L15" s="219">
        <v>212221.2</v>
      </c>
      <c r="M15" s="219">
        <v>212221.2</v>
      </c>
      <c r="N15" s="219">
        <f t="shared" si="0"/>
        <v>6115241.5253555998</v>
      </c>
    </row>
    <row r="16" spans="1:14" x14ac:dyDescent="0.25">
      <c r="A16" s="563">
        <v>12</v>
      </c>
      <c r="B16" s="222" t="s">
        <v>252</v>
      </c>
      <c r="C16" s="219">
        <v>6753044.5940337004</v>
      </c>
      <c r="D16" s="219">
        <v>0</v>
      </c>
      <c r="E16" s="219">
        <v>636663.6</v>
      </c>
      <c r="F16" s="219">
        <v>53055.3</v>
      </c>
      <c r="G16" s="219">
        <v>159165.9</v>
      </c>
      <c r="H16" s="219">
        <v>106110.6</v>
      </c>
      <c r="I16" s="219">
        <v>477497.7</v>
      </c>
      <c r="J16" s="219">
        <v>106110.6</v>
      </c>
      <c r="K16" s="219">
        <v>106110.6</v>
      </c>
      <c r="L16" s="219">
        <v>212221.2</v>
      </c>
      <c r="M16" s="219">
        <v>212221.2</v>
      </c>
      <c r="N16" s="219">
        <f t="shared" si="0"/>
        <v>8822201.2940336987</v>
      </c>
    </row>
    <row r="17" spans="1:14" x14ac:dyDescent="0.25">
      <c r="A17" s="563">
        <v>13</v>
      </c>
      <c r="B17" s="222" t="s">
        <v>253</v>
      </c>
      <c r="C17" s="219">
        <v>1707881.8765136399</v>
      </c>
      <c r="D17" s="219">
        <v>371387.10000000003</v>
      </c>
      <c r="E17" s="219">
        <v>636663.6</v>
      </c>
      <c r="F17" s="219">
        <v>53055.3</v>
      </c>
      <c r="G17" s="219">
        <v>159165.9</v>
      </c>
      <c r="H17" s="219">
        <v>106110.6</v>
      </c>
      <c r="I17" s="219">
        <v>477497.7</v>
      </c>
      <c r="J17" s="219">
        <v>106110.6</v>
      </c>
      <c r="K17" s="219">
        <v>106110.6</v>
      </c>
      <c r="L17" s="219">
        <v>212221.2</v>
      </c>
      <c r="M17" s="219">
        <v>0</v>
      </c>
      <c r="N17" s="219">
        <f t="shared" si="0"/>
        <v>3936204.4765136405</v>
      </c>
    </row>
    <row r="18" spans="1:14" x14ac:dyDescent="0.25">
      <c r="A18" s="563">
        <v>14</v>
      </c>
      <c r="B18" s="223" t="s">
        <v>254</v>
      </c>
      <c r="C18" s="219">
        <v>1707881.8765136399</v>
      </c>
      <c r="D18" s="219">
        <v>0</v>
      </c>
      <c r="E18" s="219">
        <v>636663.6</v>
      </c>
      <c r="F18" s="219">
        <v>53055.3</v>
      </c>
      <c r="G18" s="219">
        <v>159165.9</v>
      </c>
      <c r="H18" s="219">
        <v>106110.6</v>
      </c>
      <c r="I18" s="219">
        <v>477497.7</v>
      </c>
      <c r="J18" s="219">
        <v>106110.6</v>
      </c>
      <c r="K18" s="219">
        <v>106110.6</v>
      </c>
      <c r="L18" s="219">
        <v>212221.2</v>
      </c>
      <c r="M18" s="219">
        <v>212221.2</v>
      </c>
      <c r="N18" s="219">
        <f t="shared" si="0"/>
        <v>3777038.5765136406</v>
      </c>
    </row>
    <row r="19" spans="1:14" x14ac:dyDescent="0.25">
      <c r="A19" s="563">
        <v>15</v>
      </c>
      <c r="B19" s="222" t="s">
        <v>255</v>
      </c>
      <c r="C19" s="219">
        <v>3303310.6253555999</v>
      </c>
      <c r="D19" s="219">
        <v>371387.10000000003</v>
      </c>
      <c r="E19" s="219">
        <v>636663.6</v>
      </c>
      <c r="F19" s="219">
        <v>53055.3</v>
      </c>
      <c r="G19" s="219">
        <v>159165.9</v>
      </c>
      <c r="H19" s="219">
        <v>106110.6</v>
      </c>
      <c r="I19" s="219">
        <v>477497.7</v>
      </c>
      <c r="J19" s="219">
        <v>106110.6</v>
      </c>
      <c r="K19" s="219">
        <v>106110.6</v>
      </c>
      <c r="L19" s="219">
        <v>212221.2</v>
      </c>
      <c r="M19" s="219">
        <v>212221.2</v>
      </c>
      <c r="N19" s="219">
        <f t="shared" si="0"/>
        <v>5743854.4253555993</v>
      </c>
    </row>
    <row r="20" spans="1:14" x14ac:dyDescent="0.25">
      <c r="A20" s="563">
        <v>16</v>
      </c>
      <c r="B20" s="222" t="s">
        <v>256</v>
      </c>
      <c r="C20" s="219">
        <v>1707881.8765136399</v>
      </c>
      <c r="D20" s="219">
        <v>0</v>
      </c>
      <c r="E20" s="219">
        <v>424442.4</v>
      </c>
      <c r="F20" s="219">
        <v>53055.3</v>
      </c>
      <c r="G20" s="219">
        <v>159165.9</v>
      </c>
      <c r="H20" s="219">
        <v>106110.6</v>
      </c>
      <c r="I20" s="219">
        <v>477497.7</v>
      </c>
      <c r="J20" s="219">
        <v>106110.6</v>
      </c>
      <c r="K20" s="219">
        <v>106110.6</v>
      </c>
      <c r="L20" s="219">
        <v>212221.2</v>
      </c>
      <c r="M20" s="219">
        <v>0</v>
      </c>
      <c r="N20" s="219">
        <f t="shared" si="0"/>
        <v>3352596.1765136402</v>
      </c>
    </row>
    <row r="21" spans="1:14" x14ac:dyDescent="0.25">
      <c r="A21" s="563">
        <v>17</v>
      </c>
      <c r="B21" s="222" t="s">
        <v>257</v>
      </c>
      <c r="C21" s="219">
        <v>1707881.8765136399</v>
      </c>
      <c r="D21" s="219">
        <v>371387.10000000003</v>
      </c>
      <c r="E21" s="219">
        <v>636663.6</v>
      </c>
      <c r="F21" s="219">
        <v>53055.3</v>
      </c>
      <c r="G21" s="219">
        <v>159165.9</v>
      </c>
      <c r="H21" s="219">
        <v>106110.6</v>
      </c>
      <c r="I21" s="219">
        <v>477497.7</v>
      </c>
      <c r="J21" s="219">
        <v>106110.6</v>
      </c>
      <c r="K21" s="219">
        <v>106110.6</v>
      </c>
      <c r="L21" s="219">
        <v>212221.2</v>
      </c>
      <c r="M21" s="219">
        <v>0</v>
      </c>
      <c r="N21" s="219">
        <f t="shared" si="0"/>
        <v>3936204.4765136405</v>
      </c>
    </row>
    <row r="22" spans="1:14" x14ac:dyDescent="0.25">
      <c r="A22" s="563">
        <v>18</v>
      </c>
      <c r="B22" s="222" t="s">
        <v>258</v>
      </c>
      <c r="C22" s="219">
        <v>1707881.8765136399</v>
      </c>
      <c r="D22" s="219">
        <v>742774.20000000007</v>
      </c>
      <c r="E22" s="219">
        <v>636663.6</v>
      </c>
      <c r="F22" s="219">
        <v>53055.3</v>
      </c>
      <c r="G22" s="219">
        <v>159165.9</v>
      </c>
      <c r="H22" s="219">
        <v>106110.6</v>
      </c>
      <c r="I22" s="219">
        <v>477497.7</v>
      </c>
      <c r="J22" s="219">
        <v>106110.6</v>
      </c>
      <c r="K22" s="219">
        <v>106110.6</v>
      </c>
      <c r="L22" s="219">
        <v>212221.2</v>
      </c>
      <c r="M22" s="219">
        <v>0</v>
      </c>
      <c r="N22" s="219">
        <f t="shared" si="0"/>
        <v>4307591.5765136406</v>
      </c>
    </row>
    <row r="23" spans="1:14" x14ac:dyDescent="0.25">
      <c r="A23" s="563">
        <v>19</v>
      </c>
      <c r="B23" s="222" t="s">
        <v>259</v>
      </c>
      <c r="C23" s="219">
        <v>9371093.9726400003</v>
      </c>
      <c r="D23" s="219">
        <v>1591659</v>
      </c>
      <c r="E23" s="219">
        <v>1591659</v>
      </c>
      <c r="F23" s="219">
        <v>424442.4</v>
      </c>
      <c r="G23" s="219">
        <v>1273327.2</v>
      </c>
      <c r="H23" s="219">
        <v>106110.6</v>
      </c>
      <c r="I23" s="219">
        <v>1909990.8</v>
      </c>
      <c r="J23" s="219">
        <v>848884.8</v>
      </c>
      <c r="K23" s="219">
        <v>848884.8</v>
      </c>
      <c r="L23" s="219">
        <v>1697769.6</v>
      </c>
      <c r="M23" s="219">
        <v>424442.4</v>
      </c>
      <c r="N23" s="219">
        <f t="shared" si="0"/>
        <v>20088264.572640002</v>
      </c>
    </row>
    <row r="24" spans="1:14" x14ac:dyDescent="0.25">
      <c r="A24" s="563">
        <v>20</v>
      </c>
      <c r="B24" s="222" t="s">
        <v>260</v>
      </c>
      <c r="C24" s="219">
        <v>1707881.8765136399</v>
      </c>
      <c r="D24" s="219">
        <v>0</v>
      </c>
      <c r="E24" s="219">
        <v>636663.6</v>
      </c>
      <c r="F24" s="219">
        <v>53055.3</v>
      </c>
      <c r="G24" s="219">
        <v>159165.9</v>
      </c>
      <c r="H24" s="219">
        <v>106110.6</v>
      </c>
      <c r="I24" s="219">
        <v>477497.7</v>
      </c>
      <c r="J24" s="219">
        <v>106110.6</v>
      </c>
      <c r="K24" s="219">
        <v>106110.6</v>
      </c>
      <c r="L24" s="219">
        <v>212221.2</v>
      </c>
      <c r="M24" s="219">
        <v>0</v>
      </c>
      <c r="N24" s="219">
        <f t="shared" si="0"/>
        <v>3564817.3765136404</v>
      </c>
    </row>
    <row r="25" spans="1:14" x14ac:dyDescent="0.25">
      <c r="A25" s="563">
        <v>21</v>
      </c>
      <c r="B25" s="222" t="s">
        <v>261</v>
      </c>
      <c r="C25" s="219">
        <v>7816663.759928341</v>
      </c>
      <c r="D25" s="219">
        <v>0</v>
      </c>
      <c r="E25" s="219">
        <v>1591659</v>
      </c>
      <c r="F25" s="219">
        <v>53055.3</v>
      </c>
      <c r="G25" s="219">
        <v>159165.9</v>
      </c>
      <c r="H25" s="219">
        <v>106110.6</v>
      </c>
      <c r="I25" s="219">
        <v>477497.7</v>
      </c>
      <c r="J25" s="219">
        <v>106110.6</v>
      </c>
      <c r="K25" s="219">
        <v>106110.6</v>
      </c>
      <c r="L25" s="219">
        <v>212221.2</v>
      </c>
      <c r="M25" s="219">
        <v>212221.2</v>
      </c>
      <c r="N25" s="219">
        <f t="shared" si="0"/>
        <v>10840815.85992834</v>
      </c>
    </row>
    <row r="26" spans="1:14" x14ac:dyDescent="0.25">
      <c r="A26" s="563">
        <v>22</v>
      </c>
      <c r="B26" s="222" t="s">
        <v>262</v>
      </c>
      <c r="C26" s="219">
        <v>1707881.8765136399</v>
      </c>
      <c r="D26" s="219">
        <v>371387.10000000003</v>
      </c>
      <c r="E26" s="219">
        <v>636663.6</v>
      </c>
      <c r="F26" s="219">
        <v>53055.3</v>
      </c>
      <c r="G26" s="219">
        <v>159165.9</v>
      </c>
      <c r="H26" s="219">
        <v>106110.6</v>
      </c>
      <c r="I26" s="219">
        <v>477497.7</v>
      </c>
      <c r="J26" s="219">
        <v>106110.6</v>
      </c>
      <c r="K26" s="219">
        <v>106110.6</v>
      </c>
      <c r="L26" s="219">
        <v>212221.2</v>
      </c>
      <c r="M26" s="219">
        <v>0</v>
      </c>
      <c r="N26" s="219">
        <f t="shared" si="0"/>
        <v>3936204.4765136405</v>
      </c>
    </row>
    <row r="27" spans="1:14" x14ac:dyDescent="0.25">
      <c r="A27" s="563">
        <v>23</v>
      </c>
      <c r="B27" s="222" t="s">
        <v>263</v>
      </c>
      <c r="C27" s="219">
        <v>1707881.8765136399</v>
      </c>
      <c r="D27" s="219">
        <v>0</v>
      </c>
      <c r="E27" s="219">
        <v>424442.4</v>
      </c>
      <c r="F27" s="219">
        <v>53055.3</v>
      </c>
      <c r="G27" s="219">
        <v>159165.9</v>
      </c>
      <c r="H27" s="219">
        <v>106110.6</v>
      </c>
      <c r="I27" s="219">
        <v>477497.7</v>
      </c>
      <c r="J27" s="219">
        <v>106110.6</v>
      </c>
      <c r="K27" s="219">
        <v>106110.6</v>
      </c>
      <c r="L27" s="219">
        <v>212221.2</v>
      </c>
      <c r="M27" s="219">
        <v>0</v>
      </c>
      <c r="N27" s="219">
        <f t="shared" si="0"/>
        <v>3352596.1765136402</v>
      </c>
    </row>
    <row r="28" spans="1:14" x14ac:dyDescent="0.25">
      <c r="A28" s="563">
        <v>24</v>
      </c>
      <c r="B28" s="222" t="s">
        <v>264</v>
      </c>
      <c r="C28" s="219">
        <v>1707881.8765136399</v>
      </c>
      <c r="D28" s="219">
        <v>371387.10000000003</v>
      </c>
      <c r="E28" s="219">
        <v>636663.6</v>
      </c>
      <c r="F28" s="219">
        <v>53055.3</v>
      </c>
      <c r="G28" s="219">
        <v>159165.9</v>
      </c>
      <c r="H28" s="219">
        <v>106110.6</v>
      </c>
      <c r="I28" s="219">
        <v>477497.7</v>
      </c>
      <c r="J28" s="219">
        <v>106110.6</v>
      </c>
      <c r="K28" s="219">
        <v>106110.6</v>
      </c>
      <c r="L28" s="219">
        <v>212221.2</v>
      </c>
      <c r="M28" s="219">
        <v>212221.2</v>
      </c>
      <c r="N28" s="219">
        <f t="shared" si="0"/>
        <v>4148425.6765136407</v>
      </c>
    </row>
    <row r="29" spans="1:14" x14ac:dyDescent="0.25">
      <c r="A29" s="563">
        <v>25</v>
      </c>
      <c r="B29" s="222" t="s">
        <v>265</v>
      </c>
      <c r="C29" s="219">
        <v>9371093.9726400003</v>
      </c>
      <c r="D29" s="219">
        <v>1591659</v>
      </c>
      <c r="E29" s="219">
        <v>1591659</v>
      </c>
      <c r="F29" s="219">
        <v>424442.4</v>
      </c>
      <c r="G29" s="219">
        <v>1273327.2</v>
      </c>
      <c r="H29" s="219">
        <v>106110.6</v>
      </c>
      <c r="I29" s="219">
        <v>1909990.8</v>
      </c>
      <c r="J29" s="219">
        <v>848884.8</v>
      </c>
      <c r="K29" s="219">
        <v>848884.8</v>
      </c>
      <c r="L29" s="219">
        <v>1697769.6</v>
      </c>
      <c r="M29" s="219">
        <v>424442.4</v>
      </c>
      <c r="N29" s="219">
        <f t="shared" si="0"/>
        <v>20088264.572640002</v>
      </c>
    </row>
    <row r="30" spans="1:14" x14ac:dyDescent="0.25">
      <c r="A30" s="563">
        <v>26</v>
      </c>
      <c r="B30" s="222" t="s">
        <v>266</v>
      </c>
      <c r="C30" s="219">
        <v>1707881.8765136399</v>
      </c>
      <c r="D30" s="219">
        <v>0</v>
      </c>
      <c r="E30" s="219">
        <v>212221.2</v>
      </c>
      <c r="F30" s="219">
        <v>53055.3</v>
      </c>
      <c r="G30" s="219">
        <v>159165.9</v>
      </c>
      <c r="H30" s="219">
        <v>106110.6</v>
      </c>
      <c r="I30" s="219">
        <v>477497.7</v>
      </c>
      <c r="J30" s="219">
        <v>106110.6</v>
      </c>
      <c r="K30" s="219">
        <v>106110.6</v>
      </c>
      <c r="L30" s="219">
        <v>212221.2</v>
      </c>
      <c r="M30" s="219">
        <v>0</v>
      </c>
      <c r="N30" s="219">
        <f t="shared" si="0"/>
        <v>3140374.9765136405</v>
      </c>
    </row>
    <row r="31" spans="1:14" x14ac:dyDescent="0.25">
      <c r="A31" s="563">
        <v>27</v>
      </c>
      <c r="B31" s="222" t="s">
        <v>267</v>
      </c>
      <c r="C31" s="219">
        <v>2267804.7413788796</v>
      </c>
      <c r="D31" s="219">
        <v>742774.20000000007</v>
      </c>
      <c r="E31" s="219">
        <v>636663.6</v>
      </c>
      <c r="F31" s="219">
        <v>53055.3</v>
      </c>
      <c r="G31" s="219">
        <v>159165.9</v>
      </c>
      <c r="H31" s="219">
        <v>106110.6</v>
      </c>
      <c r="I31" s="219">
        <v>477497.7</v>
      </c>
      <c r="J31" s="219">
        <v>106110.6</v>
      </c>
      <c r="K31" s="219">
        <v>106110.6</v>
      </c>
      <c r="L31" s="219">
        <v>212221.2</v>
      </c>
      <c r="M31" s="219">
        <v>212221.2</v>
      </c>
      <c r="N31" s="219">
        <f t="shared" si="0"/>
        <v>5079735.6413788795</v>
      </c>
    </row>
    <row r="32" spans="1:14" x14ac:dyDescent="0.25">
      <c r="A32" s="563">
        <v>28</v>
      </c>
      <c r="B32" s="222" t="s">
        <v>268</v>
      </c>
      <c r="C32" s="219">
        <v>31627442.157660004</v>
      </c>
      <c r="D32" s="219">
        <v>742774.20000000007</v>
      </c>
      <c r="E32" s="219">
        <v>636663.6</v>
      </c>
      <c r="F32" s="219">
        <v>53055.3</v>
      </c>
      <c r="G32" s="219">
        <v>159165.9</v>
      </c>
      <c r="H32" s="219">
        <v>106110.6</v>
      </c>
      <c r="I32" s="219">
        <v>477497.7</v>
      </c>
      <c r="J32" s="219">
        <v>106110.6</v>
      </c>
      <c r="K32" s="219">
        <v>106110.6</v>
      </c>
      <c r="L32" s="219">
        <v>212221.2</v>
      </c>
      <c r="M32" s="219">
        <v>0</v>
      </c>
      <c r="N32" s="219">
        <f t="shared" si="0"/>
        <v>34227151.85766001</v>
      </c>
    </row>
    <row r="33" spans="1:14" x14ac:dyDescent="0.25">
      <c r="A33" s="563">
        <v>29</v>
      </c>
      <c r="B33" s="222" t="s">
        <v>269</v>
      </c>
      <c r="C33" s="219">
        <v>1707881.8765136399</v>
      </c>
      <c r="D33" s="219">
        <v>371387.10000000003</v>
      </c>
      <c r="E33" s="219">
        <v>424442.4</v>
      </c>
      <c r="F33" s="219">
        <v>53055.3</v>
      </c>
      <c r="G33" s="219">
        <v>159165.9</v>
      </c>
      <c r="H33" s="219">
        <v>106110.6</v>
      </c>
      <c r="I33" s="219">
        <v>477497.7</v>
      </c>
      <c r="J33" s="219">
        <v>106110.6</v>
      </c>
      <c r="K33" s="219">
        <v>106110.6</v>
      </c>
      <c r="L33" s="219">
        <v>212221.2</v>
      </c>
      <c r="M33" s="219">
        <v>212221.2</v>
      </c>
      <c r="N33" s="219">
        <f t="shared" si="0"/>
        <v>3936204.4765136405</v>
      </c>
    </row>
    <row r="34" spans="1:14" x14ac:dyDescent="0.25">
      <c r="A34" s="563">
        <v>30</v>
      </c>
      <c r="B34" s="222" t="s">
        <v>270</v>
      </c>
      <c r="C34" s="219">
        <v>1707881.8765136399</v>
      </c>
      <c r="D34" s="219">
        <v>371387.10000000003</v>
      </c>
      <c r="E34" s="219">
        <v>848884.8</v>
      </c>
      <c r="F34" s="219">
        <v>53055.3</v>
      </c>
      <c r="G34" s="219">
        <v>159165.9</v>
      </c>
      <c r="H34" s="219">
        <v>106110.6</v>
      </c>
      <c r="I34" s="219">
        <v>477497.7</v>
      </c>
      <c r="J34" s="219">
        <v>106110.6</v>
      </c>
      <c r="K34" s="219">
        <v>106110.6</v>
      </c>
      <c r="L34" s="219">
        <v>212221.2</v>
      </c>
      <c r="M34" s="219">
        <v>212221.2</v>
      </c>
      <c r="N34" s="219">
        <f t="shared" si="0"/>
        <v>4360646.8765136404</v>
      </c>
    </row>
    <row r="35" spans="1:14" x14ac:dyDescent="0.25">
      <c r="A35" s="563">
        <v>31</v>
      </c>
      <c r="B35" s="222" t="s">
        <v>271</v>
      </c>
      <c r="C35" s="219">
        <v>1707881.8765136399</v>
      </c>
      <c r="D35" s="219">
        <v>371387.10000000003</v>
      </c>
      <c r="E35" s="219">
        <v>636663.6</v>
      </c>
      <c r="F35" s="219">
        <v>53055.3</v>
      </c>
      <c r="G35" s="219">
        <v>159165.9</v>
      </c>
      <c r="H35" s="219">
        <v>106110.6</v>
      </c>
      <c r="I35" s="219">
        <v>477497.7</v>
      </c>
      <c r="J35" s="219">
        <v>106110.6</v>
      </c>
      <c r="K35" s="219">
        <v>106110.6</v>
      </c>
      <c r="L35" s="219">
        <v>212221.2</v>
      </c>
      <c r="M35" s="219">
        <v>212221.2</v>
      </c>
      <c r="N35" s="219">
        <f t="shared" si="0"/>
        <v>4148425.6765136407</v>
      </c>
    </row>
    <row r="36" spans="1:14" x14ac:dyDescent="0.25">
      <c r="A36" s="662"/>
      <c r="B36" s="663"/>
      <c r="C36" s="633"/>
      <c r="D36" s="633"/>
      <c r="E36" s="633"/>
      <c r="F36" s="633"/>
      <c r="G36" s="633"/>
      <c r="H36" s="633"/>
      <c r="I36" s="633"/>
      <c r="J36" s="633"/>
      <c r="K36" s="633"/>
      <c r="L36" s="633"/>
      <c r="M36" s="633"/>
      <c r="N36" s="633"/>
    </row>
    <row r="37" spans="1:14" x14ac:dyDescent="0.25">
      <c r="A37" s="664"/>
      <c r="B37" s="665"/>
      <c r="C37" s="636"/>
      <c r="D37" s="636"/>
      <c r="E37" s="636"/>
      <c r="F37" s="636"/>
      <c r="G37" s="636"/>
      <c r="H37" s="636"/>
      <c r="I37" s="636"/>
      <c r="J37" s="636"/>
      <c r="K37" s="636"/>
      <c r="L37" s="636"/>
      <c r="M37" s="636"/>
      <c r="N37" s="636"/>
    </row>
    <row r="38" spans="1:14" x14ac:dyDescent="0.25">
      <c r="A38" s="664"/>
      <c r="B38" s="665"/>
      <c r="C38" s="636"/>
      <c r="D38" s="636"/>
      <c r="E38" s="636"/>
      <c r="F38" s="636"/>
      <c r="G38" s="636"/>
      <c r="H38" s="636"/>
      <c r="I38" s="636"/>
      <c r="J38" s="636"/>
      <c r="K38" s="636"/>
      <c r="L38" s="636"/>
      <c r="M38" s="636"/>
      <c r="N38" s="636"/>
    </row>
    <row r="39" spans="1:14" x14ac:dyDescent="0.25">
      <c r="A39" s="664"/>
      <c r="B39" s="665"/>
      <c r="C39" s="636"/>
      <c r="D39" s="636"/>
      <c r="E39" s="636"/>
      <c r="F39" s="636"/>
      <c r="G39" s="636"/>
      <c r="H39" s="636"/>
      <c r="I39" s="636"/>
      <c r="J39" s="636"/>
      <c r="K39" s="636"/>
      <c r="L39" s="636"/>
      <c r="M39" s="636"/>
      <c r="N39" s="636"/>
    </row>
    <row r="40" spans="1:14" x14ac:dyDescent="0.25">
      <c r="A40" s="563">
        <v>32</v>
      </c>
      <c r="B40" s="222" t="s">
        <v>272</v>
      </c>
      <c r="C40" s="219">
        <v>702832.0479479999</v>
      </c>
      <c r="D40" s="219">
        <v>0</v>
      </c>
      <c r="E40" s="219">
        <v>424442.4</v>
      </c>
      <c r="F40" s="219">
        <v>53055.3</v>
      </c>
      <c r="G40" s="219">
        <v>159165.9</v>
      </c>
      <c r="H40" s="219">
        <v>106110.6</v>
      </c>
      <c r="I40" s="219">
        <v>477497.7</v>
      </c>
      <c r="J40" s="219">
        <v>106110.6</v>
      </c>
      <c r="K40" s="219">
        <v>106110.6</v>
      </c>
      <c r="L40" s="219">
        <v>212221.2</v>
      </c>
      <c r="M40" s="219">
        <v>0</v>
      </c>
      <c r="N40" s="219">
        <f t="shared" si="0"/>
        <v>2347546.3479480003</v>
      </c>
    </row>
    <row r="41" spans="1:14" x14ac:dyDescent="0.25">
      <c r="A41" s="563">
        <v>33</v>
      </c>
      <c r="B41" s="222" t="s">
        <v>273</v>
      </c>
      <c r="C41" s="219">
        <v>8817028.0415076613</v>
      </c>
      <c r="D41" s="219">
        <v>371387.10000000003</v>
      </c>
      <c r="E41" s="219">
        <v>636663.6</v>
      </c>
      <c r="F41" s="219">
        <v>53055.3</v>
      </c>
      <c r="G41" s="219">
        <v>159165.9</v>
      </c>
      <c r="H41" s="219">
        <v>106110.6</v>
      </c>
      <c r="I41" s="219">
        <v>477497.7</v>
      </c>
      <c r="J41" s="219">
        <v>106110.6</v>
      </c>
      <c r="K41" s="219">
        <v>106110.6</v>
      </c>
      <c r="L41" s="219">
        <v>212221.2</v>
      </c>
      <c r="M41" s="219">
        <v>212221.2</v>
      </c>
      <c r="N41" s="219">
        <f t="shared" si="0"/>
        <v>11257571.841507658</v>
      </c>
    </row>
    <row r="42" spans="1:14" x14ac:dyDescent="0.25">
      <c r="A42" s="563">
        <v>34</v>
      </c>
      <c r="B42" s="222" t="s">
        <v>274</v>
      </c>
      <c r="C42" s="219">
        <v>7848291.2020860016</v>
      </c>
      <c r="D42" s="219">
        <v>371387.10000000003</v>
      </c>
      <c r="E42" s="219">
        <v>636663.6</v>
      </c>
      <c r="F42" s="219">
        <v>53055.3</v>
      </c>
      <c r="G42" s="219">
        <v>159165.9</v>
      </c>
      <c r="H42" s="219">
        <v>106110.6</v>
      </c>
      <c r="I42" s="219">
        <v>477497.7</v>
      </c>
      <c r="J42" s="219">
        <v>106110.6</v>
      </c>
      <c r="K42" s="219">
        <v>106110.6</v>
      </c>
      <c r="L42" s="219">
        <v>212221.2</v>
      </c>
      <c r="M42" s="219">
        <v>0</v>
      </c>
      <c r="N42" s="219">
        <f t="shared" si="0"/>
        <v>10076613.802085999</v>
      </c>
    </row>
    <row r="43" spans="1:14" x14ac:dyDescent="0.25">
      <c r="A43" s="563">
        <v>35</v>
      </c>
      <c r="B43" s="222" t="s">
        <v>275</v>
      </c>
      <c r="C43" s="219">
        <v>3303310.6253555999</v>
      </c>
      <c r="D43" s="219">
        <v>742774.20000000007</v>
      </c>
      <c r="E43" s="219">
        <v>636663.6</v>
      </c>
      <c r="F43" s="219">
        <v>53055.3</v>
      </c>
      <c r="G43" s="219">
        <v>159165.9</v>
      </c>
      <c r="H43" s="219">
        <v>106110.6</v>
      </c>
      <c r="I43" s="219">
        <v>477497.7</v>
      </c>
      <c r="J43" s="219">
        <v>106110.6</v>
      </c>
      <c r="K43" s="219">
        <v>106110.6</v>
      </c>
      <c r="L43" s="219">
        <v>212221.2</v>
      </c>
      <c r="M43" s="219">
        <v>0</v>
      </c>
      <c r="N43" s="219">
        <f t="shared" si="0"/>
        <v>5903020.3253555996</v>
      </c>
    </row>
    <row r="44" spans="1:14" x14ac:dyDescent="0.25">
      <c r="A44" s="563">
        <v>36</v>
      </c>
      <c r="B44" s="222" t="s">
        <v>296</v>
      </c>
      <c r="C44" s="219">
        <v>7848291.2020860016</v>
      </c>
      <c r="D44" s="219">
        <v>1591659</v>
      </c>
      <c r="E44" s="219">
        <v>1591659</v>
      </c>
      <c r="F44" s="219">
        <v>424442.4</v>
      </c>
      <c r="G44" s="219">
        <v>1273327.2</v>
      </c>
      <c r="H44" s="219">
        <v>106110.6</v>
      </c>
      <c r="I44" s="219">
        <v>1909990.8</v>
      </c>
      <c r="J44" s="219">
        <v>848884.8</v>
      </c>
      <c r="K44" s="219">
        <v>848884.8</v>
      </c>
      <c r="L44" s="219">
        <v>1697769.6</v>
      </c>
      <c r="M44" s="219">
        <v>424442.4</v>
      </c>
      <c r="N44" s="219">
        <f t="shared" si="0"/>
        <v>18565461.802086003</v>
      </c>
    </row>
    <row r="45" spans="1:14" x14ac:dyDescent="0.25">
      <c r="A45" s="563">
        <v>37</v>
      </c>
      <c r="B45" s="222" t="s">
        <v>277</v>
      </c>
      <c r="C45" s="219">
        <v>6753044.5940337004</v>
      </c>
      <c r="D45" s="219">
        <v>1591659</v>
      </c>
      <c r="E45" s="219">
        <v>1591659</v>
      </c>
      <c r="F45" s="219">
        <v>424442.4</v>
      </c>
      <c r="G45" s="219">
        <v>1273327.2</v>
      </c>
      <c r="H45" s="219">
        <v>106110.6</v>
      </c>
      <c r="I45" s="219">
        <v>1909990.8</v>
      </c>
      <c r="J45" s="219">
        <v>848884.8</v>
      </c>
      <c r="K45" s="219">
        <v>848884.8</v>
      </c>
      <c r="L45" s="219">
        <v>1697769.6</v>
      </c>
      <c r="M45" s="219">
        <v>424442.4</v>
      </c>
      <c r="N45" s="219">
        <f t="shared" si="0"/>
        <v>17470215.194033701</v>
      </c>
    </row>
    <row r="46" spans="1:14" x14ac:dyDescent="0.25">
      <c r="A46" s="563">
        <v>38</v>
      </c>
      <c r="B46" s="222" t="s">
        <v>278</v>
      </c>
      <c r="C46" s="219">
        <v>37484375.890560001</v>
      </c>
      <c r="D46" s="219">
        <v>1591659</v>
      </c>
      <c r="E46" s="219">
        <v>1591659</v>
      </c>
      <c r="F46" s="219">
        <v>424442.4</v>
      </c>
      <c r="G46" s="219">
        <v>1273327.2</v>
      </c>
      <c r="H46" s="219">
        <v>106110.6</v>
      </c>
      <c r="I46" s="219">
        <v>1909990.8</v>
      </c>
      <c r="J46" s="219">
        <v>848884.8</v>
      </c>
      <c r="K46" s="219">
        <v>848884.8</v>
      </c>
      <c r="L46" s="219">
        <v>1697769.6</v>
      </c>
      <c r="M46" s="219">
        <v>424442.4</v>
      </c>
      <c r="N46" s="219">
        <f t="shared" si="0"/>
        <v>48201546.490559995</v>
      </c>
    </row>
    <row r="47" spans="1:14" x14ac:dyDescent="0.25">
      <c r="A47" s="563">
        <v>39</v>
      </c>
      <c r="B47" s="223" t="s">
        <v>279</v>
      </c>
      <c r="C47" s="219">
        <v>702832.0479479999</v>
      </c>
      <c r="D47" s="219">
        <v>0</v>
      </c>
      <c r="E47" s="219">
        <v>742774.20000000007</v>
      </c>
      <c r="F47" s="219">
        <v>53055.3</v>
      </c>
      <c r="G47" s="219">
        <v>159165.9</v>
      </c>
      <c r="H47" s="219">
        <v>106110.6</v>
      </c>
      <c r="I47" s="219">
        <v>1909990.8</v>
      </c>
      <c r="J47" s="219">
        <v>106110.6</v>
      </c>
      <c r="K47" s="219">
        <v>106110.6</v>
      </c>
      <c r="L47" s="219">
        <v>212221.2</v>
      </c>
      <c r="M47" s="219">
        <v>0</v>
      </c>
      <c r="N47" s="219">
        <f t="shared" si="0"/>
        <v>4098371.2479480002</v>
      </c>
    </row>
    <row r="48" spans="1:14" x14ac:dyDescent="0.25">
      <c r="A48" s="563">
        <v>40</v>
      </c>
      <c r="B48" s="222" t="s">
        <v>280</v>
      </c>
      <c r="C48" s="219">
        <v>29284668.664500002</v>
      </c>
      <c r="D48" s="219">
        <v>0</v>
      </c>
      <c r="E48" s="219">
        <v>742774.20000000007</v>
      </c>
      <c r="F48" s="219">
        <v>424442.4</v>
      </c>
      <c r="G48" s="219">
        <v>1273327.2</v>
      </c>
      <c r="H48" s="219">
        <v>106110.6</v>
      </c>
      <c r="I48" s="219">
        <v>477497.7</v>
      </c>
      <c r="J48" s="219">
        <v>848884.8</v>
      </c>
      <c r="K48" s="219">
        <v>848884.8</v>
      </c>
      <c r="L48" s="219">
        <v>1697769.6</v>
      </c>
      <c r="M48" s="219">
        <v>0</v>
      </c>
      <c r="N48" s="219">
        <f t="shared" si="0"/>
        <v>35704359.964500003</v>
      </c>
    </row>
    <row r="49" spans="1:14" x14ac:dyDescent="0.25">
      <c r="A49" s="1024" t="s">
        <v>297</v>
      </c>
      <c r="B49" s="1024"/>
      <c r="C49" s="224">
        <f>SUM(C5:C48)</f>
        <v>235025865.44706467</v>
      </c>
      <c r="D49" s="224">
        <f t="shared" ref="D49:M49" si="1">SUM(D5:D48)</f>
        <v>20797677.599999994</v>
      </c>
      <c r="E49" s="224">
        <f t="shared" si="1"/>
        <v>30347631.600000001</v>
      </c>
      <c r="F49" s="224">
        <f t="shared" si="1"/>
        <v>4721921.6999999993</v>
      </c>
      <c r="G49" s="224">
        <f t="shared" si="1"/>
        <v>14165765.100000001</v>
      </c>
      <c r="H49" s="224">
        <f t="shared" si="1"/>
        <v>4244424.0000000028</v>
      </c>
      <c r="I49" s="224">
        <f t="shared" si="1"/>
        <v>29127359.699999992</v>
      </c>
      <c r="J49" s="224">
        <f t="shared" si="1"/>
        <v>9443843.3999999985</v>
      </c>
      <c r="K49" s="224">
        <f t="shared" si="1"/>
        <v>9443843.3999999985</v>
      </c>
      <c r="L49" s="224">
        <f t="shared" si="1"/>
        <v>18887686.799999997</v>
      </c>
      <c r="M49" s="224">
        <f t="shared" si="1"/>
        <v>6154414.8000000026</v>
      </c>
      <c r="N49" s="219">
        <f t="shared" si="0"/>
        <v>382360433.54706466</v>
      </c>
    </row>
    <row r="50" spans="1:14" x14ac:dyDescent="0.25">
      <c r="A50" s="666"/>
      <c r="B50" s="667"/>
      <c r="C50" s="667"/>
      <c r="D50" s="667"/>
      <c r="E50" s="667"/>
      <c r="F50" s="667"/>
      <c r="G50" s="668"/>
      <c r="H50" s="1020" t="s">
        <v>159</v>
      </c>
      <c r="I50" s="1021"/>
      <c r="J50" s="1021"/>
      <c r="K50" s="1021"/>
      <c r="L50" s="1021"/>
      <c r="M50" s="1022"/>
      <c r="N50" s="224">
        <f>N49*0.16</f>
        <v>61177669.367530346</v>
      </c>
    </row>
    <row r="51" spans="1:14" x14ac:dyDescent="0.25">
      <c r="A51" s="669"/>
      <c r="B51" s="221"/>
      <c r="C51" s="221"/>
      <c r="D51" s="221"/>
      <c r="E51" s="221"/>
      <c r="F51" s="221"/>
      <c r="G51" s="670"/>
      <c r="H51" s="1020" t="s">
        <v>298</v>
      </c>
      <c r="I51" s="1021"/>
      <c r="J51" s="1021"/>
      <c r="K51" s="1021"/>
      <c r="L51" s="1021"/>
      <c r="M51" s="1022"/>
      <c r="N51" s="224">
        <f>SUM(N49:N50)</f>
        <v>443538102.91459501</v>
      </c>
    </row>
  </sheetData>
  <mergeCells count="4">
    <mergeCell ref="A49:B49"/>
    <mergeCell ref="A3:N3"/>
    <mergeCell ref="H50:M50"/>
    <mergeCell ref="H51:M51"/>
  </mergeCells>
  <pageMargins left="1.57" right="0.7" top="0.75" bottom="0.75" header="0.3" footer="0.3"/>
  <pageSetup paperSize="5" scale="8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00B0F0"/>
  </sheetPr>
  <dimension ref="B1:Q53"/>
  <sheetViews>
    <sheetView view="pageLayout" topLeftCell="D43" zoomScale="85" zoomScalePageLayoutView="85" workbookViewId="0">
      <selection activeCell="Q53" sqref="Q53"/>
    </sheetView>
  </sheetViews>
  <sheetFormatPr baseColWidth="10" defaultRowHeight="12" x14ac:dyDescent="0.2"/>
  <cols>
    <col min="1" max="1" width="11.42578125" style="159"/>
    <col min="2" max="2" width="4.85546875" style="236" customWidth="1"/>
    <col min="3" max="3" width="20.7109375" style="237" customWidth="1"/>
    <col min="4" max="4" width="11.42578125" style="159" customWidth="1"/>
    <col min="5" max="5" width="10.5703125" style="159" customWidth="1"/>
    <col min="6" max="6" width="10.7109375" style="159" customWidth="1"/>
    <col min="7" max="7" width="11.42578125" style="159" customWidth="1"/>
    <col min="8" max="8" width="11.140625" style="159" customWidth="1"/>
    <col min="9" max="9" width="10.85546875" style="159" customWidth="1"/>
    <col min="10" max="10" width="12" style="159" customWidth="1"/>
    <col min="11" max="11" width="10.7109375" style="159" customWidth="1"/>
    <col min="12" max="12" width="10.85546875" style="159" customWidth="1"/>
    <col min="13" max="13" width="11.140625" style="159" customWidth="1"/>
    <col min="14" max="15" width="10.7109375" style="159" customWidth="1"/>
    <col min="16" max="16" width="11" style="159" customWidth="1"/>
    <col min="17" max="17" width="14.7109375" style="159" bestFit="1" customWidth="1"/>
    <col min="18" max="16384" width="11.42578125" style="159"/>
  </cols>
  <sheetData>
    <row r="1" spans="2:17" x14ac:dyDescent="0.2">
      <c r="B1" s="562"/>
      <c r="C1" s="673"/>
      <c r="D1" s="226"/>
      <c r="E1" s="226"/>
      <c r="F1" s="226"/>
      <c r="G1" s="226"/>
      <c r="H1" s="226"/>
      <c r="I1" s="226"/>
      <c r="J1" s="226"/>
      <c r="K1" s="226"/>
      <c r="L1" s="226"/>
      <c r="M1" s="226"/>
      <c r="N1" s="226"/>
      <c r="O1" s="226"/>
      <c r="P1" s="226"/>
      <c r="Q1" s="226"/>
    </row>
    <row r="2" spans="2:17" x14ac:dyDescent="0.2">
      <c r="B2" s="562"/>
      <c r="C2" s="673"/>
      <c r="D2" s="226"/>
      <c r="E2" s="226"/>
      <c r="F2" s="226"/>
      <c r="G2" s="226"/>
      <c r="H2" s="226"/>
      <c r="I2" s="226"/>
      <c r="J2" s="226"/>
      <c r="K2" s="226"/>
      <c r="L2" s="226"/>
      <c r="M2" s="226"/>
      <c r="N2" s="226"/>
      <c r="O2" s="226"/>
      <c r="P2" s="226"/>
      <c r="Q2" s="226"/>
    </row>
    <row r="3" spans="2:17" ht="21.75" customHeight="1" x14ac:dyDescent="0.2">
      <c r="B3" s="945" t="s">
        <v>1418</v>
      </c>
      <c r="C3" s="946"/>
      <c r="D3" s="946"/>
      <c r="E3" s="946"/>
      <c r="F3" s="946"/>
      <c r="G3" s="946"/>
      <c r="H3" s="946"/>
      <c r="I3" s="946"/>
      <c r="J3" s="946"/>
      <c r="K3" s="946"/>
      <c r="L3" s="946"/>
      <c r="M3" s="946"/>
      <c r="N3" s="946"/>
      <c r="O3" s="946"/>
      <c r="P3" s="946"/>
      <c r="Q3" s="947"/>
    </row>
    <row r="4" spans="2:17" s="229" customFormat="1" ht="124.5" customHeight="1" x14ac:dyDescent="0.25">
      <c r="B4" s="227" t="s">
        <v>346</v>
      </c>
      <c r="C4" s="599" t="s">
        <v>287</v>
      </c>
      <c r="D4" s="227" t="s">
        <v>612</v>
      </c>
      <c r="E4" s="599" t="s">
        <v>1892</v>
      </c>
      <c r="F4" s="227" t="s">
        <v>613</v>
      </c>
      <c r="G4" s="599" t="s">
        <v>614</v>
      </c>
      <c r="H4" s="227" t="s">
        <v>615</v>
      </c>
      <c r="I4" s="227" t="s">
        <v>615</v>
      </c>
      <c r="J4" s="599" t="s">
        <v>616</v>
      </c>
      <c r="K4" s="227" t="s">
        <v>617</v>
      </c>
      <c r="L4" s="227" t="s">
        <v>618</v>
      </c>
      <c r="M4" s="227" t="s">
        <v>619</v>
      </c>
      <c r="N4" s="227" t="s">
        <v>620</v>
      </c>
      <c r="O4" s="227" t="s">
        <v>621</v>
      </c>
      <c r="P4" s="227" t="s">
        <v>621</v>
      </c>
      <c r="Q4" s="227" t="s">
        <v>454</v>
      </c>
    </row>
    <row r="5" spans="2:17" s="226" customFormat="1" ht="22.5" customHeight="1" x14ac:dyDescent="0.25">
      <c r="B5" s="230">
        <v>1</v>
      </c>
      <c r="C5" s="231" t="s">
        <v>241</v>
      </c>
      <c r="D5" s="219">
        <v>282456.90000000002</v>
      </c>
      <c r="E5" s="219">
        <v>235380.90450000003</v>
      </c>
      <c r="F5" s="219">
        <v>222991.91</v>
      </c>
      <c r="G5" s="219">
        <v>238239.30900000004</v>
      </c>
      <c r="H5" s="219">
        <v>247769.48700000002</v>
      </c>
      <c r="I5" s="219">
        <v>114694.15650000001</v>
      </c>
      <c r="J5" s="219">
        <v>673809.10800000001</v>
      </c>
      <c r="K5" s="219">
        <v>52032.046500000004</v>
      </c>
      <c r="L5" s="219">
        <v>75119.908500000005</v>
      </c>
      <c r="M5" s="219">
        <v>165261.85199999998</v>
      </c>
      <c r="N5" s="219">
        <v>14866.299000000001</v>
      </c>
      <c r="O5" s="219">
        <v>44598.897000000004</v>
      </c>
      <c r="P5" s="219">
        <v>143727.02400000003</v>
      </c>
      <c r="Q5" s="219">
        <f>SUM(D5:P5)</f>
        <v>2510947.8020000001</v>
      </c>
    </row>
    <row r="6" spans="2:17" s="226" customFormat="1" ht="22.5" customHeight="1" x14ac:dyDescent="0.25">
      <c r="B6" s="230">
        <v>2</v>
      </c>
      <c r="C6" s="231" t="s">
        <v>242</v>
      </c>
      <c r="D6" s="219">
        <v>425172.67</v>
      </c>
      <c r="E6" s="219">
        <v>235380.90450000003</v>
      </c>
      <c r="F6" s="219">
        <v>200692.41</v>
      </c>
      <c r="G6" s="219">
        <v>0</v>
      </c>
      <c r="H6" s="219">
        <v>247769.48700000002</v>
      </c>
      <c r="I6" s="219">
        <v>114694.15650000001</v>
      </c>
      <c r="J6" s="219">
        <v>673809.10800000001</v>
      </c>
      <c r="K6" s="219">
        <v>52032.046500000004</v>
      </c>
      <c r="L6" s="219">
        <v>75119.908500000005</v>
      </c>
      <c r="M6" s="219">
        <v>165261.85199999998</v>
      </c>
      <c r="N6" s="219">
        <v>14866.299000000001</v>
      </c>
      <c r="O6" s="219">
        <v>44598.897000000004</v>
      </c>
      <c r="P6" s="219">
        <v>143727.02400000003</v>
      </c>
      <c r="Q6" s="219">
        <f t="shared" ref="Q6:Q48" si="0">SUM(D6:P6)</f>
        <v>2393124.7630000003</v>
      </c>
    </row>
    <row r="7" spans="2:17" s="226" customFormat="1" ht="22.5" customHeight="1" x14ac:dyDescent="0.25">
      <c r="B7" s="230">
        <v>3</v>
      </c>
      <c r="C7" s="231" t="s">
        <v>243</v>
      </c>
      <c r="D7" s="219">
        <v>212586.12900000002</v>
      </c>
      <c r="E7" s="219">
        <v>0</v>
      </c>
      <c r="F7" s="219">
        <v>111496.47</v>
      </c>
      <c r="G7" s="219">
        <v>0</v>
      </c>
      <c r="H7" s="219">
        <v>247769.48700000002</v>
      </c>
      <c r="I7" s="219">
        <v>114694.15650000001</v>
      </c>
      <c r="J7" s="219">
        <v>0</v>
      </c>
      <c r="K7" s="219">
        <v>52032.046500000004</v>
      </c>
      <c r="L7" s="219">
        <v>75119.908500000005</v>
      </c>
      <c r="M7" s="219">
        <v>165261.85199999998</v>
      </c>
      <c r="N7" s="219">
        <v>14866.299000000001</v>
      </c>
      <c r="O7" s="219">
        <v>44598.897000000004</v>
      </c>
      <c r="P7" s="219">
        <v>143727.02400000003</v>
      </c>
      <c r="Q7" s="219">
        <f t="shared" si="0"/>
        <v>1182152.2695000002</v>
      </c>
    </row>
    <row r="8" spans="2:17" s="226" customFormat="1" ht="22.5" customHeight="1" x14ac:dyDescent="0.25">
      <c r="B8" s="230">
        <v>4</v>
      </c>
      <c r="C8" s="231" t="s">
        <v>244</v>
      </c>
      <c r="D8" s="219">
        <v>212586.12900000002</v>
      </c>
      <c r="E8" s="219">
        <v>0</v>
      </c>
      <c r="F8" s="219">
        <v>111496.47</v>
      </c>
      <c r="G8" s="219">
        <v>0</v>
      </c>
      <c r="H8" s="219">
        <v>247769.48700000002</v>
      </c>
      <c r="I8" s="219">
        <v>114694.15650000001</v>
      </c>
      <c r="J8" s="219">
        <v>673809.10800000001</v>
      </c>
      <c r="K8" s="219">
        <v>52032.046500000004</v>
      </c>
      <c r="L8" s="219">
        <v>75119.908500000005</v>
      </c>
      <c r="M8" s="219">
        <v>165261.85199999998</v>
      </c>
      <c r="N8" s="219">
        <v>14866.299000000001</v>
      </c>
      <c r="O8" s="219">
        <v>44598.897000000004</v>
      </c>
      <c r="P8" s="219">
        <v>143727.02400000003</v>
      </c>
      <c r="Q8" s="219">
        <f t="shared" si="0"/>
        <v>1855961.3775000002</v>
      </c>
    </row>
    <row r="9" spans="2:17" s="226" customFormat="1" ht="22.5" customHeight="1" x14ac:dyDescent="0.25">
      <c r="B9" s="230">
        <v>5</v>
      </c>
      <c r="C9" s="231" t="s">
        <v>245</v>
      </c>
      <c r="D9" s="219">
        <v>212586.12900000002</v>
      </c>
      <c r="E9" s="219">
        <v>0</v>
      </c>
      <c r="F9" s="219">
        <v>0</v>
      </c>
      <c r="G9" s="219">
        <v>0</v>
      </c>
      <c r="H9" s="219">
        <v>247769.48700000002</v>
      </c>
      <c r="I9" s="219">
        <v>114694.15650000001</v>
      </c>
      <c r="J9" s="219">
        <v>673809.10800000001</v>
      </c>
      <c r="K9" s="219">
        <v>52032.046500000004</v>
      </c>
      <c r="L9" s="219">
        <v>75119.908500000005</v>
      </c>
      <c r="M9" s="219">
        <v>165261.85199999998</v>
      </c>
      <c r="N9" s="219">
        <v>14866.299000000001</v>
      </c>
      <c r="O9" s="219">
        <v>44598.897000000004</v>
      </c>
      <c r="P9" s="219">
        <v>143727.02400000003</v>
      </c>
      <c r="Q9" s="219">
        <f t="shared" si="0"/>
        <v>1744464.9075</v>
      </c>
    </row>
    <row r="10" spans="2:17" s="226" customFormat="1" ht="22.5" customHeight="1" x14ac:dyDescent="0.25">
      <c r="B10" s="230">
        <v>6</v>
      </c>
      <c r="C10" s="231" t="s">
        <v>246</v>
      </c>
      <c r="D10" s="219">
        <v>212586.12900000002</v>
      </c>
      <c r="E10" s="219">
        <v>235380.90450000003</v>
      </c>
      <c r="F10" s="219">
        <v>260901.06</v>
      </c>
      <c r="G10" s="219">
        <v>238239.30900000004</v>
      </c>
      <c r="H10" s="219">
        <v>247769.48700000002</v>
      </c>
      <c r="I10" s="219">
        <v>114694.15650000001</v>
      </c>
      <c r="J10" s="219">
        <v>673809.10800000001</v>
      </c>
      <c r="K10" s="219">
        <v>52032.046500000004</v>
      </c>
      <c r="L10" s="219">
        <v>75119.908500000005</v>
      </c>
      <c r="M10" s="219">
        <v>165261.85199999998</v>
      </c>
      <c r="N10" s="219">
        <v>14866.299000000001</v>
      </c>
      <c r="O10" s="219">
        <v>44598.897000000004</v>
      </c>
      <c r="P10" s="219">
        <v>0</v>
      </c>
      <c r="Q10" s="219">
        <f t="shared" si="0"/>
        <v>2335259.1570000001</v>
      </c>
    </row>
    <row r="11" spans="2:17" s="226" customFormat="1" ht="22.5" customHeight="1" x14ac:dyDescent="0.25">
      <c r="B11" s="230">
        <v>7</v>
      </c>
      <c r="C11" s="231" t="s">
        <v>526</v>
      </c>
      <c r="D11" s="219">
        <v>212586.12900000002</v>
      </c>
      <c r="E11" s="219">
        <v>235380.90450000003</v>
      </c>
      <c r="F11" s="219">
        <v>111496.47</v>
      </c>
      <c r="G11" s="219">
        <v>0</v>
      </c>
      <c r="H11" s="219">
        <v>247769.48700000002</v>
      </c>
      <c r="I11" s="219">
        <v>114694.15650000001</v>
      </c>
      <c r="J11" s="219">
        <v>673809.10800000001</v>
      </c>
      <c r="K11" s="219">
        <v>52032.046500000004</v>
      </c>
      <c r="L11" s="219">
        <v>75119.908500000005</v>
      </c>
      <c r="M11" s="219">
        <v>165261.85199999998</v>
      </c>
      <c r="N11" s="219">
        <v>14866.299000000001</v>
      </c>
      <c r="O11" s="219">
        <v>44598.897000000004</v>
      </c>
      <c r="P11" s="219">
        <v>143727.02400000003</v>
      </c>
      <c r="Q11" s="219">
        <f t="shared" si="0"/>
        <v>2091342.2820000001</v>
      </c>
    </row>
    <row r="12" spans="2:17" s="226" customFormat="1" ht="22.5" customHeight="1" x14ac:dyDescent="0.25">
      <c r="B12" s="230">
        <v>8</v>
      </c>
      <c r="C12" s="231" t="s">
        <v>248</v>
      </c>
      <c r="D12" s="219">
        <v>0</v>
      </c>
      <c r="E12" s="219">
        <v>0</v>
      </c>
      <c r="F12" s="219">
        <v>0</v>
      </c>
      <c r="G12" s="219">
        <v>0</v>
      </c>
      <c r="H12" s="219">
        <v>0</v>
      </c>
      <c r="I12" s="219">
        <v>0</v>
      </c>
      <c r="J12" s="219">
        <v>673809.10800000001</v>
      </c>
      <c r="K12" s="219">
        <v>0</v>
      </c>
      <c r="L12" s="219">
        <v>0</v>
      </c>
      <c r="M12" s="219">
        <v>0</v>
      </c>
      <c r="N12" s="219">
        <v>0</v>
      </c>
      <c r="O12" s="219">
        <v>0</v>
      </c>
      <c r="P12" s="219">
        <v>0</v>
      </c>
      <c r="Q12" s="219">
        <f t="shared" si="0"/>
        <v>673809.10800000001</v>
      </c>
    </row>
    <row r="13" spans="2:17" s="226" customFormat="1" ht="22.5" customHeight="1" x14ac:dyDescent="0.25">
      <c r="B13" s="230">
        <v>9</v>
      </c>
      <c r="C13" s="232" t="s">
        <v>249</v>
      </c>
      <c r="D13" s="219">
        <v>212586.12900000002</v>
      </c>
      <c r="E13" s="219">
        <v>235380.90450000003</v>
      </c>
      <c r="F13" s="219">
        <v>111496.47</v>
      </c>
      <c r="G13" s="219">
        <v>0</v>
      </c>
      <c r="H13" s="219">
        <v>247769.48700000002</v>
      </c>
      <c r="I13" s="219">
        <v>114694.15650000001</v>
      </c>
      <c r="J13" s="219">
        <v>673809.10800000001</v>
      </c>
      <c r="K13" s="219">
        <v>52032.046500000004</v>
      </c>
      <c r="L13" s="219">
        <v>75119.908500000005</v>
      </c>
      <c r="M13" s="219">
        <v>165261.85199999998</v>
      </c>
      <c r="N13" s="219">
        <v>14866.299000000001</v>
      </c>
      <c r="O13" s="219">
        <v>44598.897000000004</v>
      </c>
      <c r="P13" s="219">
        <v>143727.02400000003</v>
      </c>
      <c r="Q13" s="219">
        <f t="shared" si="0"/>
        <v>2091342.2820000001</v>
      </c>
    </row>
    <row r="14" spans="2:17" s="226" customFormat="1" ht="22.5" customHeight="1" x14ac:dyDescent="0.25">
      <c r="B14" s="230">
        <v>10</v>
      </c>
      <c r="C14" s="231" t="s">
        <v>250</v>
      </c>
      <c r="D14" s="219">
        <v>0</v>
      </c>
      <c r="E14" s="219">
        <v>0</v>
      </c>
      <c r="F14" s="219">
        <v>0</v>
      </c>
      <c r="G14" s="219">
        <v>238239.30900000004</v>
      </c>
      <c r="H14" s="219">
        <v>247769.48700000002</v>
      </c>
      <c r="I14" s="219">
        <v>114694.15650000001</v>
      </c>
      <c r="J14" s="219">
        <v>673809.10800000001</v>
      </c>
      <c r="K14" s="219">
        <v>52032.046500000004</v>
      </c>
      <c r="L14" s="219">
        <v>75119.908500000005</v>
      </c>
      <c r="M14" s="219">
        <v>165261.85199999998</v>
      </c>
      <c r="N14" s="219">
        <v>14866.299000000001</v>
      </c>
      <c r="O14" s="219">
        <v>44598.897000000004</v>
      </c>
      <c r="P14" s="219">
        <v>143727.02400000003</v>
      </c>
      <c r="Q14" s="219">
        <f t="shared" si="0"/>
        <v>1770118.0875000001</v>
      </c>
    </row>
    <row r="15" spans="2:17" s="226" customFormat="1" ht="22.5" customHeight="1" x14ac:dyDescent="0.25">
      <c r="B15" s="230">
        <v>11</v>
      </c>
      <c r="C15" s="231" t="s">
        <v>251</v>
      </c>
      <c r="D15" s="219">
        <v>354310.73</v>
      </c>
      <c r="E15" s="219">
        <v>235380.90450000003</v>
      </c>
      <c r="F15" s="219">
        <v>111496.47</v>
      </c>
      <c r="G15" s="219">
        <v>0</v>
      </c>
      <c r="H15" s="219">
        <v>247769.48700000002</v>
      </c>
      <c r="I15" s="219">
        <v>114694.15650000001</v>
      </c>
      <c r="J15" s="219">
        <v>673809.10800000001</v>
      </c>
      <c r="K15" s="219">
        <v>52032.046500000004</v>
      </c>
      <c r="L15" s="219">
        <v>75119.908500000005</v>
      </c>
      <c r="M15" s="219">
        <v>165261.85199999998</v>
      </c>
      <c r="N15" s="219">
        <v>14866.299000000001</v>
      </c>
      <c r="O15" s="219">
        <v>44598.897000000004</v>
      </c>
      <c r="P15" s="219">
        <v>143727.02400000003</v>
      </c>
      <c r="Q15" s="219">
        <f t="shared" si="0"/>
        <v>2233066.8830000004</v>
      </c>
    </row>
    <row r="16" spans="2:17" s="226" customFormat="1" ht="22.5" customHeight="1" x14ac:dyDescent="0.25">
      <c r="B16" s="230">
        <v>12</v>
      </c>
      <c r="C16" s="231" t="s">
        <v>252</v>
      </c>
      <c r="D16" s="219">
        <v>0</v>
      </c>
      <c r="E16" s="219">
        <v>0</v>
      </c>
      <c r="F16" s="219">
        <v>0</v>
      </c>
      <c r="G16" s="219">
        <v>0</v>
      </c>
      <c r="H16" s="219">
        <v>0</v>
      </c>
      <c r="I16" s="219">
        <v>0</v>
      </c>
      <c r="J16" s="219">
        <v>673809.10800000001</v>
      </c>
      <c r="K16" s="219">
        <v>0</v>
      </c>
      <c r="L16" s="219">
        <v>0</v>
      </c>
      <c r="M16" s="219">
        <v>0</v>
      </c>
      <c r="N16" s="219">
        <v>0</v>
      </c>
      <c r="O16" s="219">
        <v>0</v>
      </c>
      <c r="P16" s="219">
        <v>0</v>
      </c>
      <c r="Q16" s="219">
        <f t="shared" si="0"/>
        <v>673809.10800000001</v>
      </c>
    </row>
    <row r="17" spans="2:17" s="226" customFormat="1" ht="22.5" customHeight="1" x14ac:dyDescent="0.25">
      <c r="B17" s="230">
        <v>13</v>
      </c>
      <c r="C17" s="231" t="s">
        <v>253</v>
      </c>
      <c r="D17" s="219">
        <v>212586.12900000002</v>
      </c>
      <c r="E17" s="219">
        <v>235380.90450000003</v>
      </c>
      <c r="F17" s="219">
        <v>111496.47</v>
      </c>
      <c r="G17" s="219">
        <v>0</v>
      </c>
      <c r="H17" s="219">
        <v>247769.48700000002</v>
      </c>
      <c r="I17" s="219">
        <v>114694.15650000001</v>
      </c>
      <c r="J17" s="219">
        <v>673809.10800000001</v>
      </c>
      <c r="K17" s="219">
        <v>52032.046500000004</v>
      </c>
      <c r="L17" s="219">
        <v>75119.908500000005</v>
      </c>
      <c r="M17" s="219">
        <v>165261.85199999998</v>
      </c>
      <c r="N17" s="219">
        <v>14866.299000000001</v>
      </c>
      <c r="O17" s="219">
        <v>44598.897000000004</v>
      </c>
      <c r="P17" s="219">
        <v>143727.02400000003</v>
      </c>
      <c r="Q17" s="219">
        <f t="shared" si="0"/>
        <v>2091342.2820000001</v>
      </c>
    </row>
    <row r="18" spans="2:17" s="226" customFormat="1" ht="22.5" customHeight="1" x14ac:dyDescent="0.25">
      <c r="B18" s="230">
        <v>14</v>
      </c>
      <c r="C18" s="232" t="s">
        <v>254</v>
      </c>
      <c r="D18" s="219">
        <v>212586.12900000002</v>
      </c>
      <c r="E18" s="219">
        <v>0</v>
      </c>
      <c r="F18" s="219">
        <v>111496.47</v>
      </c>
      <c r="G18" s="219">
        <v>0</v>
      </c>
      <c r="H18" s="219">
        <v>247769.48700000002</v>
      </c>
      <c r="I18" s="219">
        <v>114694.15650000001</v>
      </c>
      <c r="J18" s="219">
        <v>673809.10800000001</v>
      </c>
      <c r="K18" s="219">
        <v>52032.046500000004</v>
      </c>
      <c r="L18" s="219">
        <v>75119.908500000005</v>
      </c>
      <c r="M18" s="219">
        <v>165261.85199999998</v>
      </c>
      <c r="N18" s="219">
        <v>14866.299000000001</v>
      </c>
      <c r="O18" s="219">
        <v>44598.897000000004</v>
      </c>
      <c r="P18" s="219">
        <v>143727.02400000003</v>
      </c>
      <c r="Q18" s="219">
        <f t="shared" si="0"/>
        <v>1855961.3775000002</v>
      </c>
    </row>
    <row r="19" spans="2:17" s="226" customFormat="1" ht="22.5" customHeight="1" x14ac:dyDescent="0.25">
      <c r="B19" s="230">
        <v>15</v>
      </c>
      <c r="C19" s="231" t="s">
        <v>255</v>
      </c>
      <c r="D19" s="219">
        <v>212586.12900000002</v>
      </c>
      <c r="E19" s="219">
        <v>0</v>
      </c>
      <c r="F19" s="219">
        <v>111496.47</v>
      </c>
      <c r="G19" s="219">
        <v>0</v>
      </c>
      <c r="H19" s="219">
        <v>247769.48700000002</v>
      </c>
      <c r="I19" s="219">
        <v>114694.15650000001</v>
      </c>
      <c r="J19" s="219">
        <v>673809.10800000001</v>
      </c>
      <c r="K19" s="219">
        <v>52032.046500000004</v>
      </c>
      <c r="L19" s="219">
        <v>75119.908500000005</v>
      </c>
      <c r="M19" s="219">
        <v>165261.85199999998</v>
      </c>
      <c r="N19" s="219">
        <v>14866.299000000001</v>
      </c>
      <c r="O19" s="219">
        <v>44598.897000000004</v>
      </c>
      <c r="P19" s="219">
        <v>143727.02400000003</v>
      </c>
      <c r="Q19" s="219">
        <f t="shared" si="0"/>
        <v>1855961.3775000002</v>
      </c>
    </row>
    <row r="20" spans="2:17" s="226" customFormat="1" ht="22.5" customHeight="1" x14ac:dyDescent="0.25">
      <c r="B20" s="230">
        <v>16</v>
      </c>
      <c r="C20" s="231" t="s">
        <v>256</v>
      </c>
      <c r="D20" s="219">
        <v>212586.12900000002</v>
      </c>
      <c r="E20" s="219">
        <v>0</v>
      </c>
      <c r="F20" s="219">
        <v>111496.47</v>
      </c>
      <c r="G20" s="219">
        <v>0</v>
      </c>
      <c r="H20" s="219">
        <v>247769.48700000002</v>
      </c>
      <c r="I20" s="219">
        <v>114694.15650000001</v>
      </c>
      <c r="J20" s="219">
        <v>673809.10800000001</v>
      </c>
      <c r="K20" s="219">
        <v>52032.046500000004</v>
      </c>
      <c r="L20" s="219">
        <v>75119.908500000005</v>
      </c>
      <c r="M20" s="219">
        <v>165261.85199999998</v>
      </c>
      <c r="N20" s="219">
        <v>14866.299000000001</v>
      </c>
      <c r="O20" s="219">
        <v>44598.897000000004</v>
      </c>
      <c r="P20" s="219">
        <v>143727.02400000003</v>
      </c>
      <c r="Q20" s="219">
        <f t="shared" si="0"/>
        <v>1855961.3775000002</v>
      </c>
    </row>
    <row r="21" spans="2:17" s="226" customFormat="1" ht="22.5" customHeight="1" x14ac:dyDescent="0.25">
      <c r="B21" s="230">
        <v>17</v>
      </c>
      <c r="C21" s="231" t="s">
        <v>257</v>
      </c>
      <c r="D21" s="219">
        <v>212586.12900000002</v>
      </c>
      <c r="E21" s="219">
        <v>235380.90450000003</v>
      </c>
      <c r="F21" s="219">
        <v>111496.47</v>
      </c>
      <c r="G21" s="219">
        <v>0</v>
      </c>
      <c r="H21" s="219">
        <v>247769.48700000002</v>
      </c>
      <c r="I21" s="219">
        <v>114694.15650000001</v>
      </c>
      <c r="J21" s="219">
        <v>673809.10800000001</v>
      </c>
      <c r="K21" s="219">
        <v>52032.046500000004</v>
      </c>
      <c r="L21" s="219">
        <v>75119.908500000005</v>
      </c>
      <c r="M21" s="219">
        <v>165261.85199999998</v>
      </c>
      <c r="N21" s="219">
        <v>14866.299000000001</v>
      </c>
      <c r="O21" s="219">
        <v>44598.897000000004</v>
      </c>
      <c r="P21" s="219">
        <v>143727.02400000003</v>
      </c>
      <c r="Q21" s="219">
        <f t="shared" si="0"/>
        <v>2091342.2820000001</v>
      </c>
    </row>
    <row r="22" spans="2:17" s="226" customFormat="1" ht="22.5" customHeight="1" x14ac:dyDescent="0.25">
      <c r="B22" s="230">
        <v>18</v>
      </c>
      <c r="C22" s="231" t="s">
        <v>258</v>
      </c>
      <c r="D22" s="219">
        <v>212586.12900000002</v>
      </c>
      <c r="E22" s="219">
        <v>0</v>
      </c>
      <c r="F22" s="219">
        <v>111496.47</v>
      </c>
      <c r="G22" s="219">
        <v>3561559.75</v>
      </c>
      <c r="H22" s="219">
        <v>247769.48700000002</v>
      </c>
      <c r="I22" s="219">
        <v>114694.15650000001</v>
      </c>
      <c r="J22" s="219">
        <v>673809.10800000001</v>
      </c>
      <c r="K22" s="219">
        <v>52032.046500000004</v>
      </c>
      <c r="L22" s="219">
        <v>75119.908500000005</v>
      </c>
      <c r="M22" s="219">
        <v>165261.85199999998</v>
      </c>
      <c r="N22" s="219">
        <v>14866.299000000001</v>
      </c>
      <c r="O22" s="219">
        <v>44598.897000000004</v>
      </c>
      <c r="P22" s="219">
        <v>143727.02400000003</v>
      </c>
      <c r="Q22" s="219">
        <f t="shared" si="0"/>
        <v>5417521.1274999995</v>
      </c>
    </row>
    <row r="23" spans="2:17" s="226" customFormat="1" ht="22.5" customHeight="1" x14ac:dyDescent="0.25">
      <c r="B23" s="230">
        <v>19</v>
      </c>
      <c r="C23" s="231" t="s">
        <v>259</v>
      </c>
      <c r="D23" s="219">
        <v>0</v>
      </c>
      <c r="E23" s="219">
        <v>0</v>
      </c>
      <c r="F23" s="219">
        <v>0</v>
      </c>
      <c r="G23" s="219">
        <v>0</v>
      </c>
      <c r="H23" s="219">
        <v>0</v>
      </c>
      <c r="I23" s="219">
        <v>0</v>
      </c>
      <c r="J23" s="219">
        <v>673809.10800000001</v>
      </c>
      <c r="K23" s="219">
        <v>0</v>
      </c>
      <c r="L23" s="219">
        <v>0</v>
      </c>
      <c r="M23" s="219">
        <v>165261.85199999998</v>
      </c>
      <c r="N23" s="219">
        <v>0</v>
      </c>
      <c r="O23" s="219">
        <v>0</v>
      </c>
      <c r="P23" s="219">
        <v>0</v>
      </c>
      <c r="Q23" s="219">
        <f t="shared" si="0"/>
        <v>839070.96</v>
      </c>
    </row>
    <row r="24" spans="2:17" s="226" customFormat="1" ht="22.5" customHeight="1" x14ac:dyDescent="0.25">
      <c r="B24" s="282"/>
      <c r="C24" s="671"/>
      <c r="D24" s="633"/>
      <c r="E24" s="633"/>
      <c r="F24" s="633"/>
      <c r="G24" s="633"/>
      <c r="H24" s="633"/>
      <c r="I24" s="633"/>
      <c r="J24" s="633"/>
      <c r="K24" s="633"/>
      <c r="L24" s="633"/>
      <c r="M24" s="633"/>
      <c r="N24" s="633"/>
      <c r="O24" s="633"/>
      <c r="P24" s="633"/>
      <c r="Q24" s="633"/>
    </row>
    <row r="25" spans="2:17" s="226" customFormat="1" ht="22.5" customHeight="1" x14ac:dyDescent="0.25">
      <c r="B25" s="610"/>
      <c r="C25" s="672"/>
      <c r="D25" s="636"/>
      <c r="E25" s="636"/>
      <c r="F25" s="636"/>
      <c r="G25" s="636"/>
      <c r="H25" s="636"/>
      <c r="I25" s="636"/>
      <c r="J25" s="636"/>
      <c r="K25" s="636"/>
      <c r="L25" s="636"/>
      <c r="M25" s="636"/>
      <c r="N25" s="636"/>
      <c r="O25" s="636"/>
      <c r="P25" s="636"/>
      <c r="Q25" s="636"/>
    </row>
    <row r="26" spans="2:17" s="226" customFormat="1" ht="22.5" customHeight="1" x14ac:dyDescent="0.25">
      <c r="B26" s="610"/>
      <c r="C26" s="672"/>
      <c r="D26" s="636"/>
      <c r="E26" s="636"/>
      <c r="F26" s="636"/>
      <c r="G26" s="636"/>
      <c r="H26" s="636"/>
      <c r="I26" s="636"/>
      <c r="J26" s="636"/>
      <c r="K26" s="636"/>
      <c r="L26" s="636"/>
      <c r="M26" s="636"/>
      <c r="N26" s="636"/>
      <c r="O26" s="636"/>
      <c r="P26" s="636"/>
      <c r="Q26" s="636"/>
    </row>
    <row r="27" spans="2:17" s="226" customFormat="1" ht="22.5" customHeight="1" x14ac:dyDescent="0.25">
      <c r="B27" s="610"/>
      <c r="C27" s="672"/>
      <c r="D27" s="636"/>
      <c r="E27" s="636"/>
      <c r="F27" s="636"/>
      <c r="G27" s="636"/>
      <c r="H27" s="636"/>
      <c r="I27" s="636"/>
      <c r="J27" s="636"/>
      <c r="K27" s="636"/>
      <c r="L27" s="636"/>
      <c r="M27" s="636"/>
      <c r="N27" s="636"/>
      <c r="O27" s="636"/>
      <c r="P27" s="636"/>
      <c r="Q27" s="636"/>
    </row>
    <row r="28" spans="2:17" s="226" customFormat="1" ht="19.7" customHeight="1" x14ac:dyDescent="0.25">
      <c r="B28" s="230">
        <v>20</v>
      </c>
      <c r="C28" s="231" t="s">
        <v>260</v>
      </c>
      <c r="D28" s="219">
        <v>354310.73</v>
      </c>
      <c r="E28" s="219">
        <v>235380.90450000003</v>
      </c>
      <c r="F28" s="219">
        <v>267589.88</v>
      </c>
      <c r="G28" s="219">
        <v>238239.30900000004</v>
      </c>
      <c r="H28" s="219">
        <v>247769.48700000002</v>
      </c>
      <c r="I28" s="219">
        <v>114694.15650000001</v>
      </c>
      <c r="J28" s="219">
        <v>673809.10800000001</v>
      </c>
      <c r="K28" s="219">
        <v>52032.046500000004</v>
      </c>
      <c r="L28" s="219">
        <v>75119.908500000005</v>
      </c>
      <c r="M28" s="219">
        <v>165261.85199999998</v>
      </c>
      <c r="N28" s="219">
        <v>14866.299000000001</v>
      </c>
      <c r="O28" s="219">
        <v>44598.897000000004</v>
      </c>
      <c r="P28" s="219">
        <v>0</v>
      </c>
      <c r="Q28" s="219">
        <f t="shared" si="0"/>
        <v>2483672.5780000002</v>
      </c>
    </row>
    <row r="29" spans="2:17" s="226" customFormat="1" ht="19.7" customHeight="1" x14ac:dyDescent="0.25">
      <c r="B29" s="230">
        <v>21</v>
      </c>
      <c r="C29" s="231" t="s">
        <v>261</v>
      </c>
      <c r="D29" s="219">
        <v>354310.73</v>
      </c>
      <c r="E29" s="219">
        <v>235380.90450000003</v>
      </c>
      <c r="F29" s="219">
        <v>111496.47</v>
      </c>
      <c r="G29" s="219">
        <v>238239.30900000004</v>
      </c>
      <c r="H29" s="219">
        <v>247769.48700000002</v>
      </c>
      <c r="I29" s="219">
        <v>114694.15650000001</v>
      </c>
      <c r="J29" s="219">
        <v>673809.10800000001</v>
      </c>
      <c r="K29" s="219">
        <v>52032.046500000004</v>
      </c>
      <c r="L29" s="219">
        <v>75119.908500000005</v>
      </c>
      <c r="M29" s="219">
        <v>165261.85199999998</v>
      </c>
      <c r="N29" s="219">
        <v>14866.299000000001</v>
      </c>
      <c r="O29" s="219">
        <v>44598.897000000004</v>
      </c>
      <c r="P29" s="219">
        <v>143727.02400000003</v>
      </c>
      <c r="Q29" s="219">
        <f t="shared" si="0"/>
        <v>2471306.1920000003</v>
      </c>
    </row>
    <row r="30" spans="2:17" s="226" customFormat="1" ht="19.7" customHeight="1" x14ac:dyDescent="0.25">
      <c r="B30" s="230">
        <v>22</v>
      </c>
      <c r="C30" s="231" t="s">
        <v>262</v>
      </c>
      <c r="D30" s="219">
        <v>212586.12900000002</v>
      </c>
      <c r="E30" s="219">
        <v>0</v>
      </c>
      <c r="F30" s="219">
        <v>111496.47</v>
      </c>
      <c r="G30" s="219">
        <v>0</v>
      </c>
      <c r="H30" s="219">
        <v>247769.48700000002</v>
      </c>
      <c r="I30" s="219">
        <v>114694.15650000001</v>
      </c>
      <c r="J30" s="219">
        <v>673809.10800000001</v>
      </c>
      <c r="K30" s="219">
        <v>52032.046500000004</v>
      </c>
      <c r="L30" s="219">
        <v>75119.908500000005</v>
      </c>
      <c r="M30" s="219">
        <v>165261.85199999998</v>
      </c>
      <c r="N30" s="219">
        <v>14866.299000000001</v>
      </c>
      <c r="O30" s="219">
        <v>44598.897000000004</v>
      </c>
      <c r="P30" s="219">
        <v>143727.02400000003</v>
      </c>
      <c r="Q30" s="219">
        <f t="shared" si="0"/>
        <v>1855961.3775000002</v>
      </c>
    </row>
    <row r="31" spans="2:17" s="226" customFormat="1" ht="19.7" customHeight="1" x14ac:dyDescent="0.25">
      <c r="B31" s="230">
        <v>23</v>
      </c>
      <c r="C31" s="231" t="s">
        <v>263</v>
      </c>
      <c r="D31" s="219">
        <v>212586.12900000002</v>
      </c>
      <c r="E31" s="219">
        <v>0</v>
      </c>
      <c r="F31" s="219">
        <v>111496.47</v>
      </c>
      <c r="G31" s="219">
        <v>0</v>
      </c>
      <c r="H31" s="219">
        <v>247769.48700000002</v>
      </c>
      <c r="I31" s="219">
        <v>114694.15650000001</v>
      </c>
      <c r="J31" s="219">
        <v>673809.10800000001</v>
      </c>
      <c r="K31" s="219">
        <v>52032.046500000004</v>
      </c>
      <c r="L31" s="219">
        <v>75119.908500000005</v>
      </c>
      <c r="M31" s="219">
        <v>165261.85199999998</v>
      </c>
      <c r="N31" s="219">
        <v>14866.299000000001</v>
      </c>
      <c r="O31" s="219">
        <v>44598.897000000004</v>
      </c>
      <c r="P31" s="219">
        <v>143727.02400000003</v>
      </c>
      <c r="Q31" s="219">
        <f t="shared" si="0"/>
        <v>1855961.3775000002</v>
      </c>
    </row>
    <row r="32" spans="2:17" s="226" customFormat="1" ht="19.7" customHeight="1" x14ac:dyDescent="0.25">
      <c r="B32" s="230">
        <v>24</v>
      </c>
      <c r="C32" s="231" t="s">
        <v>264</v>
      </c>
      <c r="D32" s="219">
        <v>0</v>
      </c>
      <c r="E32" s="219">
        <v>0</v>
      </c>
      <c r="F32" s="219">
        <v>0</v>
      </c>
      <c r="G32" s="219">
        <v>3850335.7</v>
      </c>
      <c r="H32" s="219">
        <v>0</v>
      </c>
      <c r="I32" s="219">
        <v>0</v>
      </c>
      <c r="J32" s="219">
        <v>673809.10800000001</v>
      </c>
      <c r="K32" s="219">
        <v>0</v>
      </c>
      <c r="L32" s="219">
        <v>0</v>
      </c>
      <c r="M32" s="219">
        <v>165261.85199999998</v>
      </c>
      <c r="N32" s="219">
        <v>0</v>
      </c>
      <c r="O32" s="219">
        <v>0</v>
      </c>
      <c r="P32" s="219">
        <v>0</v>
      </c>
      <c r="Q32" s="219">
        <f t="shared" si="0"/>
        <v>4689406.66</v>
      </c>
    </row>
    <row r="33" spans="2:17" s="226" customFormat="1" ht="19.7" customHeight="1" x14ac:dyDescent="0.25">
      <c r="B33" s="230">
        <v>25</v>
      </c>
      <c r="C33" s="231" t="s">
        <v>265</v>
      </c>
      <c r="D33" s="219">
        <v>212586.12900000002</v>
      </c>
      <c r="E33" s="219">
        <v>0</v>
      </c>
      <c r="F33" s="219">
        <v>68136.56</v>
      </c>
      <c r="G33" s="219">
        <v>0</v>
      </c>
      <c r="H33" s="219">
        <v>247769.48700000002</v>
      </c>
      <c r="I33" s="219">
        <v>114694.15650000001</v>
      </c>
      <c r="J33" s="219">
        <v>673809.10800000001</v>
      </c>
      <c r="K33" s="219">
        <v>52032.046500000004</v>
      </c>
      <c r="L33" s="219">
        <v>75119.908500000005</v>
      </c>
      <c r="M33" s="219">
        <v>165261.85199999998</v>
      </c>
      <c r="N33" s="219">
        <v>14866.299000000001</v>
      </c>
      <c r="O33" s="219">
        <v>44598.897000000004</v>
      </c>
      <c r="P33" s="219">
        <v>143727.02400000003</v>
      </c>
      <c r="Q33" s="219">
        <f t="shared" si="0"/>
        <v>1812601.4675</v>
      </c>
    </row>
    <row r="34" spans="2:17" s="226" customFormat="1" ht="19.7" customHeight="1" x14ac:dyDescent="0.25">
      <c r="B34" s="230">
        <v>26</v>
      </c>
      <c r="C34" s="231" t="s">
        <v>266</v>
      </c>
      <c r="D34" s="219">
        <v>0</v>
      </c>
      <c r="E34" s="219">
        <v>0</v>
      </c>
      <c r="F34" s="219">
        <v>0</v>
      </c>
      <c r="G34" s="219">
        <v>238239.30900000004</v>
      </c>
      <c r="H34" s="219">
        <v>0</v>
      </c>
      <c r="I34" s="219">
        <v>0</v>
      </c>
      <c r="J34" s="219">
        <v>673809.10800000001</v>
      </c>
      <c r="K34" s="219">
        <v>0</v>
      </c>
      <c r="L34" s="219">
        <v>0</v>
      </c>
      <c r="M34" s="219">
        <v>165261.85199999998</v>
      </c>
      <c r="N34" s="219">
        <v>0</v>
      </c>
      <c r="O34" s="219">
        <v>0</v>
      </c>
      <c r="P34" s="219">
        <v>0</v>
      </c>
      <c r="Q34" s="219">
        <f t="shared" si="0"/>
        <v>1077310.2690000001</v>
      </c>
    </row>
    <row r="35" spans="2:17" s="226" customFormat="1" ht="19.7" customHeight="1" x14ac:dyDescent="0.25">
      <c r="B35" s="230">
        <v>27</v>
      </c>
      <c r="C35" s="231" t="s">
        <v>267</v>
      </c>
      <c r="D35" s="219">
        <v>0</v>
      </c>
      <c r="E35" s="219">
        <v>235380.90450000003</v>
      </c>
      <c r="F35" s="219">
        <v>0</v>
      </c>
      <c r="G35" s="219">
        <v>238239.30900000004</v>
      </c>
      <c r="H35" s="219">
        <v>247769.48700000002</v>
      </c>
      <c r="I35" s="219">
        <v>114694.15650000001</v>
      </c>
      <c r="J35" s="219">
        <v>673809.10800000001</v>
      </c>
      <c r="K35" s="219">
        <v>52032.046500000004</v>
      </c>
      <c r="L35" s="219">
        <v>75119.908500000005</v>
      </c>
      <c r="M35" s="219">
        <v>165261.85199999998</v>
      </c>
      <c r="N35" s="219">
        <v>14866.299000000001</v>
      </c>
      <c r="O35" s="219">
        <v>44598.897000000004</v>
      </c>
      <c r="P35" s="219">
        <v>143727.02400000003</v>
      </c>
      <c r="Q35" s="219">
        <f t="shared" si="0"/>
        <v>2005498.9920000001</v>
      </c>
    </row>
    <row r="36" spans="2:17" s="226" customFormat="1" ht="19.7" customHeight="1" x14ac:dyDescent="0.25">
      <c r="B36" s="230">
        <v>28</v>
      </c>
      <c r="C36" s="231" t="s">
        <v>268</v>
      </c>
      <c r="D36" s="219">
        <v>212586.12900000002</v>
      </c>
      <c r="E36" s="219">
        <v>235380.90450000003</v>
      </c>
      <c r="F36" s="219">
        <v>260901.06</v>
      </c>
      <c r="G36" s="219">
        <v>238239.30900000004</v>
      </c>
      <c r="H36" s="219">
        <v>247769.48700000002</v>
      </c>
      <c r="I36" s="219">
        <v>114694.15650000001</v>
      </c>
      <c r="J36" s="219">
        <v>673809.10800000001</v>
      </c>
      <c r="K36" s="219">
        <v>52032.046500000004</v>
      </c>
      <c r="L36" s="219">
        <v>75119.908500000005</v>
      </c>
      <c r="M36" s="219">
        <v>165261.85199999998</v>
      </c>
      <c r="N36" s="219">
        <v>14866.299000000001</v>
      </c>
      <c r="O36" s="219">
        <v>44598.897000000004</v>
      </c>
      <c r="P36" s="219">
        <v>143727.02400000003</v>
      </c>
      <c r="Q36" s="219">
        <f t="shared" si="0"/>
        <v>2478986.1810000003</v>
      </c>
    </row>
    <row r="37" spans="2:17" s="226" customFormat="1" ht="19.7" customHeight="1" x14ac:dyDescent="0.25">
      <c r="B37" s="230">
        <v>29</v>
      </c>
      <c r="C37" s="231" t="s">
        <v>269</v>
      </c>
      <c r="D37" s="219">
        <v>212586.12900000002</v>
      </c>
      <c r="E37" s="219">
        <v>235380.90450000003</v>
      </c>
      <c r="F37" s="219">
        <v>111496.47</v>
      </c>
      <c r="G37" s="219">
        <v>0</v>
      </c>
      <c r="H37" s="219">
        <v>247769.48700000002</v>
      </c>
      <c r="I37" s="219">
        <v>114694.15650000001</v>
      </c>
      <c r="J37" s="219">
        <v>673809.10800000001</v>
      </c>
      <c r="K37" s="219">
        <v>52032.046500000004</v>
      </c>
      <c r="L37" s="219">
        <v>75119.908500000005</v>
      </c>
      <c r="M37" s="219">
        <v>165261.85199999998</v>
      </c>
      <c r="N37" s="219">
        <v>14866.299000000001</v>
      </c>
      <c r="O37" s="219">
        <v>44598.897000000004</v>
      </c>
      <c r="P37" s="219">
        <v>143727.02400000003</v>
      </c>
      <c r="Q37" s="219">
        <f t="shared" si="0"/>
        <v>2091342.2820000001</v>
      </c>
    </row>
    <row r="38" spans="2:17" s="226" customFormat="1" ht="19.7" customHeight="1" x14ac:dyDescent="0.25">
      <c r="B38" s="230">
        <v>30</v>
      </c>
      <c r="C38" s="231" t="s">
        <v>270</v>
      </c>
      <c r="D38" s="219">
        <v>212586.12900000002</v>
      </c>
      <c r="E38" s="219">
        <v>0</v>
      </c>
      <c r="F38" s="219">
        <v>111496.47</v>
      </c>
      <c r="G38" s="219">
        <v>238239.30900000004</v>
      </c>
      <c r="H38" s="219">
        <v>247769.48700000002</v>
      </c>
      <c r="I38" s="219">
        <v>114694.15650000001</v>
      </c>
      <c r="J38" s="219">
        <v>673809.10800000001</v>
      </c>
      <c r="K38" s="219">
        <v>52032.046500000004</v>
      </c>
      <c r="L38" s="219">
        <v>75119.908500000005</v>
      </c>
      <c r="M38" s="219">
        <v>165261.85199999998</v>
      </c>
      <c r="N38" s="219">
        <v>14866.299000000001</v>
      </c>
      <c r="O38" s="219">
        <v>44598.897000000004</v>
      </c>
      <c r="P38" s="219">
        <v>143727.02400000003</v>
      </c>
      <c r="Q38" s="219">
        <f t="shared" si="0"/>
        <v>2094200.6865000001</v>
      </c>
    </row>
    <row r="39" spans="2:17" s="226" customFormat="1" ht="19.7" customHeight="1" x14ac:dyDescent="0.25">
      <c r="B39" s="230">
        <v>31</v>
      </c>
      <c r="C39" s="231" t="s">
        <v>271</v>
      </c>
      <c r="D39" s="219">
        <v>212586.12900000002</v>
      </c>
      <c r="E39" s="219">
        <v>0</v>
      </c>
      <c r="F39" s="219">
        <v>68136.56</v>
      </c>
      <c r="G39" s="219">
        <v>0</v>
      </c>
      <c r="H39" s="219">
        <v>247769.48700000002</v>
      </c>
      <c r="I39" s="219">
        <v>114694.15650000001</v>
      </c>
      <c r="J39" s="219">
        <v>673809.10800000001</v>
      </c>
      <c r="K39" s="219">
        <v>52032.046500000004</v>
      </c>
      <c r="L39" s="219">
        <v>75119.908500000005</v>
      </c>
      <c r="M39" s="219">
        <v>165261.85199999998</v>
      </c>
      <c r="N39" s="219">
        <v>14866.299000000001</v>
      </c>
      <c r="O39" s="219">
        <v>44598.897000000004</v>
      </c>
      <c r="P39" s="219">
        <v>143727.02400000003</v>
      </c>
      <c r="Q39" s="219">
        <f t="shared" si="0"/>
        <v>1812601.4675</v>
      </c>
    </row>
    <row r="40" spans="2:17" s="226" customFormat="1" ht="19.7" customHeight="1" x14ac:dyDescent="0.25">
      <c r="B40" s="230">
        <v>32</v>
      </c>
      <c r="C40" s="231" t="s">
        <v>272</v>
      </c>
      <c r="D40" s="219">
        <v>212586.12900000002</v>
      </c>
      <c r="E40" s="219">
        <v>0</v>
      </c>
      <c r="F40" s="219">
        <v>111496.47</v>
      </c>
      <c r="G40" s="219">
        <v>238239.30900000004</v>
      </c>
      <c r="H40" s="219">
        <v>247769.48700000002</v>
      </c>
      <c r="I40" s="219">
        <v>114694.15650000001</v>
      </c>
      <c r="J40" s="219">
        <v>673809.10800000001</v>
      </c>
      <c r="K40" s="219">
        <v>52032.046500000004</v>
      </c>
      <c r="L40" s="219">
        <v>75119.908500000005</v>
      </c>
      <c r="M40" s="219">
        <v>165261.85199999998</v>
      </c>
      <c r="N40" s="219">
        <v>14866.299000000001</v>
      </c>
      <c r="O40" s="219">
        <v>44598.897000000004</v>
      </c>
      <c r="P40" s="219">
        <v>0</v>
      </c>
      <c r="Q40" s="219">
        <f t="shared" si="0"/>
        <v>1950473.6625000001</v>
      </c>
    </row>
    <row r="41" spans="2:17" s="226" customFormat="1" ht="19.7" customHeight="1" x14ac:dyDescent="0.25">
      <c r="B41" s="230">
        <v>33</v>
      </c>
      <c r="C41" s="231" t="s">
        <v>273</v>
      </c>
      <c r="D41" s="219">
        <v>212586.12900000002</v>
      </c>
      <c r="E41" s="219">
        <v>0</v>
      </c>
      <c r="F41" s="219">
        <v>111496.47</v>
      </c>
      <c r="G41" s="219">
        <v>238239.30900000004</v>
      </c>
      <c r="H41" s="219">
        <v>247769.48700000002</v>
      </c>
      <c r="I41" s="219">
        <v>114694.15650000001</v>
      </c>
      <c r="J41" s="219">
        <v>673809.10800000001</v>
      </c>
      <c r="K41" s="219">
        <v>52032.046500000004</v>
      </c>
      <c r="L41" s="219">
        <v>75119.908500000005</v>
      </c>
      <c r="M41" s="219">
        <v>165261.85199999998</v>
      </c>
      <c r="N41" s="219">
        <v>14866.299000000001</v>
      </c>
      <c r="O41" s="219">
        <v>44598.897000000004</v>
      </c>
      <c r="P41" s="219">
        <v>143727.02400000003</v>
      </c>
      <c r="Q41" s="219">
        <f t="shared" si="0"/>
        <v>2094200.6865000001</v>
      </c>
    </row>
    <row r="42" spans="2:17" s="226" customFormat="1" ht="19.7" customHeight="1" x14ac:dyDescent="0.25">
      <c r="B42" s="230">
        <v>34</v>
      </c>
      <c r="C42" s="231" t="s">
        <v>274</v>
      </c>
      <c r="D42" s="219">
        <v>212586.12900000002</v>
      </c>
      <c r="E42" s="219">
        <v>0</v>
      </c>
      <c r="F42" s="219">
        <v>111496.47</v>
      </c>
      <c r="G42" s="219">
        <v>0</v>
      </c>
      <c r="H42" s="219">
        <v>247769.48700000002</v>
      </c>
      <c r="I42" s="219">
        <v>114694.15650000001</v>
      </c>
      <c r="J42" s="219">
        <v>673809.10800000001</v>
      </c>
      <c r="K42" s="219">
        <v>52032.046500000004</v>
      </c>
      <c r="L42" s="219">
        <v>75119.908500000005</v>
      </c>
      <c r="M42" s="219">
        <v>165261.85199999998</v>
      </c>
      <c r="N42" s="219">
        <v>14866.299000000001</v>
      </c>
      <c r="O42" s="219">
        <v>44598.897000000004</v>
      </c>
      <c r="P42" s="219">
        <v>143727.02400000003</v>
      </c>
      <c r="Q42" s="219">
        <f t="shared" si="0"/>
        <v>1855961.3775000002</v>
      </c>
    </row>
    <row r="43" spans="2:17" s="226" customFormat="1" ht="19.7" customHeight="1" x14ac:dyDescent="0.25">
      <c r="B43" s="230">
        <v>35</v>
      </c>
      <c r="C43" s="231" t="s">
        <v>275</v>
      </c>
      <c r="D43" s="219">
        <v>354310.73</v>
      </c>
      <c r="E43" s="219">
        <v>235380.90450000003</v>
      </c>
      <c r="F43" s="219">
        <v>780473.23</v>
      </c>
      <c r="G43" s="219">
        <v>238239.30900000004</v>
      </c>
      <c r="H43" s="219">
        <v>247769.48700000002</v>
      </c>
      <c r="I43" s="219">
        <v>114694.15650000001</v>
      </c>
      <c r="J43" s="219">
        <v>673809.10800000001</v>
      </c>
      <c r="K43" s="219">
        <v>52032.046500000004</v>
      </c>
      <c r="L43" s="219">
        <v>75119.908500000005</v>
      </c>
      <c r="M43" s="219">
        <v>165261.85199999998</v>
      </c>
      <c r="N43" s="219">
        <v>14866.299000000001</v>
      </c>
      <c r="O43" s="219">
        <v>44598.897000000004</v>
      </c>
      <c r="P43" s="219">
        <v>143727.02400000003</v>
      </c>
      <c r="Q43" s="219">
        <f t="shared" si="0"/>
        <v>3140282.9520000005</v>
      </c>
    </row>
    <row r="44" spans="2:17" s="226" customFormat="1" ht="19.7" customHeight="1" x14ac:dyDescent="0.25">
      <c r="B44" s="230">
        <v>36</v>
      </c>
      <c r="C44" s="231" t="s">
        <v>296</v>
      </c>
      <c r="D44" s="219">
        <v>212586.12900000002</v>
      </c>
      <c r="E44" s="219">
        <v>0</v>
      </c>
      <c r="F44" s="219">
        <v>334488.38</v>
      </c>
      <c r="G44" s="219">
        <v>238239.30900000004</v>
      </c>
      <c r="H44" s="219">
        <v>247769.48700000002</v>
      </c>
      <c r="I44" s="219">
        <v>114694.15650000001</v>
      </c>
      <c r="J44" s="219">
        <v>673809.10800000001</v>
      </c>
      <c r="K44" s="219">
        <v>52032.046500000004</v>
      </c>
      <c r="L44" s="219">
        <v>75119.908500000005</v>
      </c>
      <c r="M44" s="219">
        <v>165261.85199999998</v>
      </c>
      <c r="N44" s="219">
        <v>14866.299000000001</v>
      </c>
      <c r="O44" s="219">
        <v>44598.897000000004</v>
      </c>
      <c r="P44" s="219">
        <v>0</v>
      </c>
      <c r="Q44" s="219">
        <f t="shared" si="0"/>
        <v>2173465.5725000002</v>
      </c>
    </row>
    <row r="45" spans="2:17" s="226" customFormat="1" ht="19.7" customHeight="1" x14ac:dyDescent="0.25">
      <c r="B45" s="230">
        <v>37</v>
      </c>
      <c r="C45" s="231" t="s">
        <v>277</v>
      </c>
      <c r="D45" s="219">
        <v>354310.73</v>
      </c>
      <c r="E45" s="219">
        <v>235380.90450000003</v>
      </c>
      <c r="F45" s="219">
        <v>445984.85000000003</v>
      </c>
      <c r="G45" s="219">
        <v>3811832.24</v>
      </c>
      <c r="H45" s="219">
        <v>247769.48700000002</v>
      </c>
      <c r="I45" s="219">
        <v>114694.15650000001</v>
      </c>
      <c r="J45" s="219">
        <v>673809.10800000001</v>
      </c>
      <c r="K45" s="219">
        <v>52032.046500000004</v>
      </c>
      <c r="L45" s="219">
        <v>75119.908500000005</v>
      </c>
      <c r="M45" s="219">
        <v>165261.85199999998</v>
      </c>
      <c r="N45" s="219">
        <v>14866.299000000001</v>
      </c>
      <c r="O45" s="219">
        <v>44598.897000000004</v>
      </c>
      <c r="P45" s="219">
        <v>0</v>
      </c>
      <c r="Q45" s="219">
        <f t="shared" si="0"/>
        <v>6235660.4789999994</v>
      </c>
    </row>
    <row r="46" spans="2:17" s="226" customFormat="1" ht="19.7" customHeight="1" x14ac:dyDescent="0.25">
      <c r="B46" s="230">
        <v>38</v>
      </c>
      <c r="C46" s="231" t="s">
        <v>278</v>
      </c>
      <c r="D46" s="219">
        <v>212586.12900000002</v>
      </c>
      <c r="E46" s="219">
        <v>235380.90450000003</v>
      </c>
      <c r="F46" s="219">
        <v>68136.56</v>
      </c>
      <c r="G46" s="219">
        <v>238239.30900000004</v>
      </c>
      <c r="H46" s="219">
        <v>247769.48700000002</v>
      </c>
      <c r="I46" s="219">
        <v>114694.15650000001</v>
      </c>
      <c r="J46" s="219">
        <v>673809.10800000001</v>
      </c>
      <c r="K46" s="219">
        <v>52032.046500000004</v>
      </c>
      <c r="L46" s="219">
        <v>75119.908500000005</v>
      </c>
      <c r="M46" s="219">
        <v>165261.85199999998</v>
      </c>
      <c r="N46" s="219">
        <v>14866.299000000001</v>
      </c>
      <c r="O46" s="219">
        <v>44598.897000000004</v>
      </c>
      <c r="P46" s="219">
        <v>143727.02400000003</v>
      </c>
      <c r="Q46" s="219">
        <f t="shared" si="0"/>
        <v>2286221.6809999999</v>
      </c>
    </row>
    <row r="47" spans="2:17" s="226" customFormat="1" ht="19.7" customHeight="1" x14ac:dyDescent="0.25">
      <c r="B47" s="230">
        <v>39</v>
      </c>
      <c r="C47" s="232" t="s">
        <v>279</v>
      </c>
      <c r="D47" s="219">
        <v>212586.12900000002</v>
      </c>
      <c r="E47" s="219">
        <v>0</v>
      </c>
      <c r="F47" s="219">
        <v>68136.56</v>
      </c>
      <c r="G47" s="219">
        <v>238239.30900000004</v>
      </c>
      <c r="H47" s="219">
        <v>247769.48700000002</v>
      </c>
      <c r="I47" s="219">
        <v>114694.15650000001</v>
      </c>
      <c r="J47" s="219">
        <v>673809.10800000001</v>
      </c>
      <c r="K47" s="219">
        <v>52032.046500000004</v>
      </c>
      <c r="L47" s="219">
        <v>75119.908500000005</v>
      </c>
      <c r="M47" s="219">
        <v>165261.85199999998</v>
      </c>
      <c r="N47" s="219">
        <v>14866.299000000001</v>
      </c>
      <c r="O47" s="219">
        <v>44598.897000000004</v>
      </c>
      <c r="P47" s="219">
        <v>143727.02400000003</v>
      </c>
      <c r="Q47" s="219">
        <f t="shared" si="0"/>
        <v>2050840.7765000002</v>
      </c>
    </row>
    <row r="48" spans="2:17" s="226" customFormat="1" ht="19.7" customHeight="1" x14ac:dyDescent="0.25">
      <c r="B48" s="230">
        <v>40</v>
      </c>
      <c r="C48" s="231" t="s">
        <v>280</v>
      </c>
      <c r="D48" s="219">
        <v>212586.12900000002</v>
      </c>
      <c r="E48" s="219">
        <v>235380.90450000003</v>
      </c>
      <c r="F48" s="219">
        <v>68136.56</v>
      </c>
      <c r="G48" s="219">
        <v>0</v>
      </c>
      <c r="H48" s="219">
        <v>247769.48700000002</v>
      </c>
      <c r="I48" s="219">
        <v>114694.15650000001</v>
      </c>
      <c r="J48" s="219">
        <v>673809.10800000001</v>
      </c>
      <c r="K48" s="219">
        <v>52032.046500000004</v>
      </c>
      <c r="L48" s="219">
        <v>75119.908500000005</v>
      </c>
      <c r="M48" s="219">
        <v>165261.85199999998</v>
      </c>
      <c r="N48" s="219">
        <v>14866.299000000001</v>
      </c>
      <c r="O48" s="219">
        <v>44598.897000000004</v>
      </c>
      <c r="P48" s="219">
        <v>143727.02400000003</v>
      </c>
      <c r="Q48" s="219">
        <f t="shared" si="0"/>
        <v>2047982.3720000002</v>
      </c>
    </row>
    <row r="49" spans="2:17" s="226" customFormat="1" ht="19.7" customHeight="1" x14ac:dyDescent="0.25">
      <c r="B49" s="967" t="s">
        <v>297</v>
      </c>
      <c r="C49" s="967"/>
      <c r="D49" s="224">
        <f>SUM(D5:D48)</f>
        <v>8006422.5739999963</v>
      </c>
      <c r="E49" s="224">
        <f>SUM(E5:E48)</f>
        <v>4001475.3765000016</v>
      </c>
      <c r="F49" s="224">
        <f t="shared" ref="F49:P49" si="1">SUM(F5:F48)</f>
        <v>5233138.51</v>
      </c>
      <c r="G49" s="224">
        <f t="shared" si="1"/>
        <v>14797317.325000005</v>
      </c>
      <c r="H49" s="224">
        <f t="shared" si="1"/>
        <v>8671932.0449999962</v>
      </c>
      <c r="I49" s="224">
        <f t="shared" si="1"/>
        <v>4014295.477500001</v>
      </c>
      <c r="J49" s="224">
        <f t="shared" si="1"/>
        <v>26278555.211999975</v>
      </c>
      <c r="K49" s="224">
        <f t="shared" si="1"/>
        <v>1821121.6274999997</v>
      </c>
      <c r="L49" s="233">
        <f t="shared" si="1"/>
        <v>2629196.797499998</v>
      </c>
      <c r="M49" s="224">
        <f t="shared" si="1"/>
        <v>6279950.3759999992</v>
      </c>
      <c r="N49" s="224">
        <f t="shared" si="1"/>
        <v>520320.46500000003</v>
      </c>
      <c r="O49" s="224">
        <f t="shared" si="1"/>
        <v>1560961.3950000014</v>
      </c>
      <c r="P49" s="224">
        <f t="shared" si="1"/>
        <v>4311810.7200000025</v>
      </c>
      <c r="Q49" s="224">
        <f>SUM(Q5:Q48)</f>
        <v>88126497.901000008</v>
      </c>
    </row>
    <row r="50" spans="2:17" s="226" customFormat="1" ht="19.7" customHeight="1" x14ac:dyDescent="0.25">
      <c r="B50" s="610"/>
      <c r="C50" s="235"/>
      <c r="D50" s="225"/>
      <c r="E50" s="225"/>
      <c r="F50" s="225"/>
      <c r="G50" s="225"/>
      <c r="H50" s="225"/>
      <c r="I50" s="225"/>
      <c r="J50" s="225"/>
      <c r="K50" s="225"/>
      <c r="L50" s="225"/>
      <c r="M50" s="903" t="s">
        <v>282</v>
      </c>
      <c r="N50" s="903"/>
      <c r="O50" s="903"/>
      <c r="P50" s="903"/>
      <c r="Q50" s="224">
        <f>Q49*0.16</f>
        <v>14100239.664160002</v>
      </c>
    </row>
    <row r="51" spans="2:17" s="226" customFormat="1" ht="19.7" customHeight="1" x14ac:dyDescent="0.25">
      <c r="B51" s="610"/>
      <c r="C51" s="235"/>
      <c r="D51" s="225"/>
      <c r="E51" s="225"/>
      <c r="F51" s="225"/>
      <c r="G51" s="225"/>
      <c r="H51" s="225"/>
      <c r="I51" s="225"/>
      <c r="J51" s="225"/>
      <c r="K51" s="225"/>
      <c r="L51" s="225"/>
      <c r="M51" s="903" t="s">
        <v>298</v>
      </c>
      <c r="N51" s="903"/>
      <c r="O51" s="903"/>
      <c r="P51" s="903"/>
      <c r="Q51" s="224">
        <f>SUM(Q49:Q50)</f>
        <v>102226737.56516001</v>
      </c>
    </row>
    <row r="52" spans="2:17" s="226" customFormat="1" ht="19.7" customHeight="1" x14ac:dyDescent="0.25">
      <c r="B52" s="704"/>
      <c r="C52" s="235"/>
      <c r="D52" s="225"/>
      <c r="E52" s="225"/>
      <c r="F52" s="225"/>
      <c r="G52" s="225"/>
      <c r="H52" s="225"/>
      <c r="I52" s="225"/>
      <c r="J52" s="225"/>
      <c r="K52" s="225"/>
      <c r="L52" s="225"/>
      <c r="M52" s="903" t="s">
        <v>161</v>
      </c>
      <c r="N52" s="903"/>
      <c r="O52" s="903"/>
      <c r="P52" s="903"/>
      <c r="Q52" s="224">
        <f>+Q51+'70.71 '!N51</f>
        <v>545764840.47975504</v>
      </c>
    </row>
    <row r="53" spans="2:17" s="226" customFormat="1" ht="19.7" customHeight="1" x14ac:dyDescent="0.25">
      <c r="B53" s="610"/>
      <c r="C53" s="235"/>
      <c r="D53" s="225"/>
      <c r="E53" s="225"/>
      <c r="F53" s="225"/>
      <c r="G53" s="225"/>
      <c r="H53" s="225"/>
      <c r="I53" s="225"/>
      <c r="J53" s="225"/>
      <c r="K53" s="225"/>
      <c r="L53" s="225"/>
      <c r="M53" s="903" t="s">
        <v>583</v>
      </c>
      <c r="N53" s="903"/>
      <c r="O53" s="903"/>
      <c r="P53" s="903"/>
      <c r="Q53" s="224">
        <f>Q52*0.7</f>
        <v>382035388.33582848</v>
      </c>
    </row>
  </sheetData>
  <mergeCells count="6">
    <mergeCell ref="M53:P53"/>
    <mergeCell ref="B3:Q3"/>
    <mergeCell ref="B49:C49"/>
    <mergeCell ref="M50:P50"/>
    <mergeCell ref="M51:P51"/>
    <mergeCell ref="M52:P52"/>
  </mergeCells>
  <pageMargins left="0.7" right="0.7" top="0.75" bottom="0.75" header="0.3" footer="0.3"/>
  <pageSetup paperSize="5" scale="80" orientation="landscape" r:id="rId1"/>
  <headerFoot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view="pageLayout" zoomScaleNormal="100" workbookViewId="0">
      <selection sqref="A1:C1"/>
    </sheetView>
  </sheetViews>
  <sheetFormatPr baseColWidth="10" defaultRowHeight="15" x14ac:dyDescent="0.25"/>
  <cols>
    <col min="1" max="1" width="6" customWidth="1"/>
    <col min="2" max="2" width="51.85546875" customWidth="1"/>
    <col min="3" max="3" width="17.85546875" customWidth="1"/>
  </cols>
  <sheetData>
    <row r="1" spans="1:3" ht="19.7" customHeight="1" x14ac:dyDescent="0.25">
      <c r="A1" s="863" t="s">
        <v>538</v>
      </c>
      <c r="B1" s="863"/>
      <c r="C1" s="863"/>
    </row>
    <row r="2" spans="1:3" ht="19.7" customHeight="1" x14ac:dyDescent="0.25">
      <c r="A2" s="864" t="s">
        <v>1427</v>
      </c>
      <c r="B2" s="864"/>
      <c r="C2" s="864"/>
    </row>
    <row r="3" spans="1:3" ht="19.7" customHeight="1" x14ac:dyDescent="0.25">
      <c r="A3" s="865" t="s">
        <v>2033</v>
      </c>
      <c r="B3" s="865"/>
      <c r="C3" s="865"/>
    </row>
    <row r="4" spans="1:3" ht="19.7" customHeight="1" x14ac:dyDescent="0.25">
      <c r="A4" s="828" t="s">
        <v>299</v>
      </c>
      <c r="B4" s="787" t="s">
        <v>0</v>
      </c>
      <c r="C4" s="787" t="s">
        <v>164</v>
      </c>
    </row>
    <row r="5" spans="1:3" ht="19.7" customHeight="1" x14ac:dyDescent="0.25">
      <c r="A5" s="829">
        <v>1</v>
      </c>
      <c r="B5" s="830" t="s">
        <v>2034</v>
      </c>
      <c r="C5" s="831">
        <v>1673331523</v>
      </c>
    </row>
    <row r="6" spans="1:3" ht="19.7" customHeight="1" x14ac:dyDescent="0.25">
      <c r="A6" s="829">
        <v>2</v>
      </c>
      <c r="B6" s="830" t="s">
        <v>1367</v>
      </c>
      <c r="C6" s="831">
        <v>409688816</v>
      </c>
    </row>
    <row r="7" spans="1:3" ht="19.7" customHeight="1" x14ac:dyDescent="0.25">
      <c r="A7" s="829">
        <v>3</v>
      </c>
      <c r="B7" s="830" t="s">
        <v>1368</v>
      </c>
      <c r="C7" s="831">
        <v>432276770</v>
      </c>
    </row>
    <row r="8" spans="1:3" ht="19.7" customHeight="1" x14ac:dyDescent="0.25">
      <c r="A8" s="829">
        <v>4</v>
      </c>
      <c r="B8" s="830" t="s">
        <v>2035</v>
      </c>
      <c r="C8" s="831">
        <v>98832014</v>
      </c>
    </row>
    <row r="9" spans="1:3" ht="19.7" customHeight="1" x14ac:dyDescent="0.25">
      <c r="A9" s="829">
        <v>5</v>
      </c>
      <c r="B9" s="830" t="s">
        <v>1369</v>
      </c>
      <c r="C9" s="831">
        <v>40874340</v>
      </c>
    </row>
    <row r="10" spans="1:3" ht="19.7" customHeight="1" x14ac:dyDescent="0.25">
      <c r="A10" s="829">
        <v>6</v>
      </c>
      <c r="B10" s="830" t="s">
        <v>1370</v>
      </c>
      <c r="C10" s="831">
        <v>2780508476</v>
      </c>
    </row>
    <row r="11" spans="1:3" ht="19.7" customHeight="1" x14ac:dyDescent="0.25">
      <c r="A11" s="829">
        <v>7</v>
      </c>
      <c r="B11" s="830" t="s">
        <v>1371</v>
      </c>
      <c r="C11" s="831">
        <v>5437013</v>
      </c>
    </row>
    <row r="12" spans="1:3" ht="19.7" customHeight="1" x14ac:dyDescent="0.25">
      <c r="A12" s="829">
        <v>8</v>
      </c>
      <c r="B12" s="830" t="s">
        <v>2036</v>
      </c>
      <c r="C12" s="831">
        <v>7916118</v>
      </c>
    </row>
    <row r="13" spans="1:3" ht="19.7" customHeight="1" x14ac:dyDescent="0.25">
      <c r="A13" s="829">
        <v>9</v>
      </c>
      <c r="B13" s="830" t="s">
        <v>1372</v>
      </c>
      <c r="C13" s="831">
        <v>185532254</v>
      </c>
    </row>
    <row r="14" spans="1:3" ht="19.7" customHeight="1" x14ac:dyDescent="0.25">
      <c r="A14" s="829">
        <v>10</v>
      </c>
      <c r="B14" s="830" t="s">
        <v>1373</v>
      </c>
      <c r="C14" s="831">
        <v>206089237</v>
      </c>
    </row>
    <row r="15" spans="1:3" ht="19.7" customHeight="1" x14ac:dyDescent="0.25">
      <c r="A15" s="829">
        <v>11</v>
      </c>
      <c r="B15" s="830" t="s">
        <v>2037</v>
      </c>
      <c r="C15" s="831">
        <v>1631650280</v>
      </c>
    </row>
    <row r="16" spans="1:3" ht="19.7" customHeight="1" x14ac:dyDescent="0.25">
      <c r="A16" s="829">
        <v>12</v>
      </c>
      <c r="B16" s="830" t="s">
        <v>2038</v>
      </c>
      <c r="C16" s="831">
        <v>762200000</v>
      </c>
    </row>
    <row r="17" spans="1:3" ht="19.7" customHeight="1" x14ac:dyDescent="0.25">
      <c r="A17" s="829">
        <v>13</v>
      </c>
      <c r="B17" s="830" t="s">
        <v>1376</v>
      </c>
      <c r="C17" s="832">
        <v>213478396</v>
      </c>
    </row>
    <row r="18" spans="1:3" ht="19.7" customHeight="1" x14ac:dyDescent="0.25">
      <c r="A18" s="829">
        <v>14</v>
      </c>
      <c r="B18" s="830" t="s">
        <v>1377</v>
      </c>
      <c r="C18" s="831">
        <v>160555807</v>
      </c>
    </row>
    <row r="19" spans="1:3" ht="19.7" customHeight="1" x14ac:dyDescent="0.25">
      <c r="A19" s="829">
        <v>15</v>
      </c>
      <c r="B19" s="830" t="s">
        <v>1378</v>
      </c>
      <c r="C19" s="831">
        <v>63743578</v>
      </c>
    </row>
    <row r="20" spans="1:3" ht="19.7" customHeight="1" x14ac:dyDescent="0.25">
      <c r="A20" s="829">
        <v>16</v>
      </c>
      <c r="B20" s="830" t="s">
        <v>2039</v>
      </c>
      <c r="C20" s="831">
        <v>80306141</v>
      </c>
    </row>
    <row r="21" spans="1:3" ht="19.7" customHeight="1" x14ac:dyDescent="0.25">
      <c r="A21" s="829">
        <v>17</v>
      </c>
      <c r="B21" s="833" t="s">
        <v>1379</v>
      </c>
      <c r="C21" s="831">
        <v>290265006</v>
      </c>
    </row>
    <row r="22" spans="1:3" ht="19.7" customHeight="1" x14ac:dyDescent="0.25">
      <c r="A22" s="829">
        <v>18</v>
      </c>
      <c r="B22" s="830" t="s">
        <v>1380</v>
      </c>
      <c r="C22" s="831">
        <v>3600023670</v>
      </c>
    </row>
    <row r="23" spans="1:3" ht="19.7" customHeight="1" x14ac:dyDescent="0.25">
      <c r="A23" s="829">
        <v>19</v>
      </c>
      <c r="B23" s="833" t="s">
        <v>1382</v>
      </c>
      <c r="C23" s="834">
        <v>45173226</v>
      </c>
    </row>
    <row r="24" spans="1:3" ht="19.7" customHeight="1" x14ac:dyDescent="0.25">
      <c r="A24" s="829">
        <v>20</v>
      </c>
      <c r="B24" s="833" t="s">
        <v>1384</v>
      </c>
      <c r="C24" s="834">
        <v>221626781</v>
      </c>
    </row>
    <row r="25" spans="1:3" ht="19.7" customHeight="1" x14ac:dyDescent="0.25">
      <c r="A25" s="829">
        <v>21</v>
      </c>
      <c r="B25" s="833" t="s">
        <v>1385</v>
      </c>
      <c r="C25" s="834">
        <v>207307687</v>
      </c>
    </row>
    <row r="26" spans="1:3" ht="19.7" customHeight="1" x14ac:dyDescent="0.25">
      <c r="A26" s="829">
        <v>22</v>
      </c>
      <c r="B26" s="830" t="s">
        <v>1386</v>
      </c>
      <c r="C26" s="831">
        <v>44400000</v>
      </c>
    </row>
    <row r="27" spans="1:3" ht="19.7" customHeight="1" x14ac:dyDescent="0.25">
      <c r="A27" s="829">
        <v>23</v>
      </c>
      <c r="B27" s="830" t="s">
        <v>536</v>
      </c>
      <c r="C27" s="831">
        <v>13920000</v>
      </c>
    </row>
    <row r="28" spans="1:3" ht="19.7" customHeight="1" x14ac:dyDescent="0.25">
      <c r="A28" s="829">
        <v>24</v>
      </c>
      <c r="B28" s="830" t="s">
        <v>1387</v>
      </c>
      <c r="C28" s="831">
        <v>10000000</v>
      </c>
    </row>
    <row r="29" spans="1:3" ht="19.7" customHeight="1" x14ac:dyDescent="0.25">
      <c r="A29" s="866" t="s">
        <v>710</v>
      </c>
      <c r="B29" s="866"/>
      <c r="C29" s="835">
        <f>SUM(C5:C28)</f>
        <v>13185137133</v>
      </c>
    </row>
  </sheetData>
  <mergeCells count="4">
    <mergeCell ref="A1:C1"/>
    <mergeCell ref="A2:C2"/>
    <mergeCell ref="A3:C3"/>
    <mergeCell ref="A29:B29"/>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rgb="FF00B0F0"/>
  </sheetPr>
  <dimension ref="B3:N52"/>
  <sheetViews>
    <sheetView view="pageLayout" zoomScale="80" zoomScaleNormal="100" zoomScalePageLayoutView="80" workbookViewId="0">
      <selection activeCell="H28" sqref="H28"/>
    </sheetView>
  </sheetViews>
  <sheetFormatPr baseColWidth="10" defaultRowHeight="15" x14ac:dyDescent="0.25"/>
  <cols>
    <col min="1" max="1" width="10.7109375" style="11" customWidth="1"/>
    <col min="2" max="2" width="5.140625" style="250" bestFit="1" customWidth="1"/>
    <col min="3" max="3" width="23.140625" style="11" customWidth="1"/>
    <col min="4" max="11" width="11.5703125" style="11" bestFit="1" customWidth="1"/>
    <col min="12" max="13" width="12.28515625" style="11" customWidth="1"/>
    <col min="14" max="14" width="14.7109375" style="11" bestFit="1" customWidth="1"/>
    <col min="15" max="16384" width="11.42578125" style="11"/>
  </cols>
  <sheetData>
    <row r="3" spans="2:14" s="251" customFormat="1" ht="15" customHeight="1" x14ac:dyDescent="0.25">
      <c r="B3" s="944" t="s">
        <v>1419</v>
      </c>
      <c r="C3" s="944"/>
      <c r="D3" s="944"/>
      <c r="E3" s="944"/>
      <c r="F3" s="944"/>
      <c r="G3" s="944"/>
      <c r="H3" s="944"/>
      <c r="I3" s="944"/>
      <c r="J3" s="944"/>
      <c r="K3" s="944"/>
      <c r="L3" s="944"/>
      <c r="M3" s="944"/>
      <c r="N3" s="944"/>
    </row>
    <row r="4" spans="2:14" s="238" customFormat="1" ht="153" customHeight="1" x14ac:dyDescent="0.25">
      <c r="B4" s="252" t="s">
        <v>346</v>
      </c>
      <c r="C4" s="253" t="s">
        <v>287</v>
      </c>
      <c r="D4" s="252" t="s">
        <v>622</v>
      </c>
      <c r="E4" s="252" t="s">
        <v>623</v>
      </c>
      <c r="F4" s="253" t="s">
        <v>624</v>
      </c>
      <c r="G4" s="253" t="s">
        <v>625</v>
      </c>
      <c r="H4" s="253" t="s">
        <v>626</v>
      </c>
      <c r="I4" s="253" t="s">
        <v>627</v>
      </c>
      <c r="J4" s="253" t="s">
        <v>628</v>
      </c>
      <c r="K4" s="252" t="s">
        <v>1685</v>
      </c>
      <c r="L4" s="252" t="s">
        <v>1686</v>
      </c>
      <c r="M4" s="253" t="s">
        <v>1687</v>
      </c>
      <c r="N4" s="252" t="s">
        <v>1460</v>
      </c>
    </row>
    <row r="5" spans="2:14" x14ac:dyDescent="0.25">
      <c r="B5" s="230">
        <v>1</v>
      </c>
      <c r="C5" s="239" t="s">
        <v>241</v>
      </c>
      <c r="D5" s="240">
        <v>672606.48</v>
      </c>
      <c r="E5" s="240">
        <v>168151.62</v>
      </c>
      <c r="F5" s="240">
        <v>201781.94400000002</v>
      </c>
      <c r="G5" s="240">
        <v>168151.62</v>
      </c>
      <c r="H5" s="220">
        <v>235412.26800000001</v>
      </c>
      <c r="I5" s="220">
        <v>168151.62</v>
      </c>
      <c r="J5" s="220">
        <v>100890.97200000001</v>
      </c>
      <c r="K5" s="220">
        <v>176559.20100000003</v>
      </c>
      <c r="L5" s="220">
        <v>302672.91600000003</v>
      </c>
      <c r="M5" s="220">
        <v>252227.43</v>
      </c>
      <c r="N5" s="220">
        <f>SUM(D5:M5)</f>
        <v>2446606.071</v>
      </c>
    </row>
    <row r="6" spans="2:14" x14ac:dyDescent="0.25">
      <c r="B6" s="230">
        <v>2</v>
      </c>
      <c r="C6" s="239" t="s">
        <v>242</v>
      </c>
      <c r="D6" s="240">
        <v>882796.005</v>
      </c>
      <c r="E6" s="240">
        <v>168151.62</v>
      </c>
      <c r="F6" s="240">
        <v>201781.94400000002</v>
      </c>
      <c r="G6" s="240">
        <v>168151.62</v>
      </c>
      <c r="H6" s="220">
        <v>235412.26800000001</v>
      </c>
      <c r="I6" s="220">
        <v>168151.62</v>
      </c>
      <c r="J6" s="220">
        <v>100890.97200000001</v>
      </c>
      <c r="K6" s="220">
        <v>176559.20100000003</v>
      </c>
      <c r="L6" s="220">
        <v>605345.83200000005</v>
      </c>
      <c r="M6" s="220">
        <v>504454.86</v>
      </c>
      <c r="N6" s="220">
        <f t="shared" ref="N6:N48" si="0">SUM(D6:M6)</f>
        <v>3211695.9419999998</v>
      </c>
    </row>
    <row r="7" spans="2:14" x14ac:dyDescent="0.25">
      <c r="B7" s="230">
        <v>3</v>
      </c>
      <c r="C7" s="239" t="s">
        <v>243</v>
      </c>
      <c r="D7" s="240">
        <v>0</v>
      </c>
      <c r="E7" s="240">
        <v>168151.62</v>
      </c>
      <c r="F7" s="240">
        <v>201781.94400000002</v>
      </c>
      <c r="G7" s="240">
        <v>168151.62</v>
      </c>
      <c r="H7" s="220">
        <v>235412.26800000001</v>
      </c>
      <c r="I7" s="220">
        <v>168151.62</v>
      </c>
      <c r="J7" s="220">
        <v>100890.97200000001</v>
      </c>
      <c r="K7" s="220">
        <v>0</v>
      </c>
      <c r="L7" s="220">
        <v>302672.91600000003</v>
      </c>
      <c r="M7" s="220">
        <v>252227.43</v>
      </c>
      <c r="N7" s="220">
        <f t="shared" si="0"/>
        <v>1597440.39</v>
      </c>
    </row>
    <row r="8" spans="2:14" x14ac:dyDescent="0.25">
      <c r="B8" s="230">
        <v>4</v>
      </c>
      <c r="C8" s="239" t="s">
        <v>244</v>
      </c>
      <c r="D8" s="240">
        <v>672606.48</v>
      </c>
      <c r="E8" s="240">
        <v>168151.62</v>
      </c>
      <c r="F8" s="240">
        <v>201781.94400000002</v>
      </c>
      <c r="G8" s="240">
        <v>168151.62</v>
      </c>
      <c r="H8" s="220">
        <v>235412.26800000001</v>
      </c>
      <c r="I8" s="220">
        <v>168151.62</v>
      </c>
      <c r="J8" s="220">
        <v>100890.97200000001</v>
      </c>
      <c r="K8" s="220">
        <v>176559.20100000003</v>
      </c>
      <c r="L8" s="220">
        <v>302672.91600000003</v>
      </c>
      <c r="M8" s="220">
        <v>252227.43</v>
      </c>
      <c r="N8" s="220">
        <f t="shared" si="0"/>
        <v>2446606.071</v>
      </c>
    </row>
    <row r="9" spans="2:14" x14ac:dyDescent="0.25">
      <c r="B9" s="230">
        <v>5</v>
      </c>
      <c r="C9" s="239" t="s">
        <v>245</v>
      </c>
      <c r="D9" s="240">
        <v>672606.48</v>
      </c>
      <c r="E9" s="240">
        <v>168151.62</v>
      </c>
      <c r="F9" s="240">
        <v>201781.94400000002</v>
      </c>
      <c r="G9" s="240">
        <v>168151.62</v>
      </c>
      <c r="H9" s="220">
        <v>235412.26800000001</v>
      </c>
      <c r="I9" s="220">
        <v>168151.62</v>
      </c>
      <c r="J9" s="220">
        <v>100890.97200000001</v>
      </c>
      <c r="K9" s="220">
        <v>176559.20100000003</v>
      </c>
      <c r="L9" s="220">
        <v>302672.91600000003</v>
      </c>
      <c r="M9" s="220">
        <v>252227.43</v>
      </c>
      <c r="N9" s="220">
        <f t="shared" si="0"/>
        <v>2446606.071</v>
      </c>
    </row>
    <row r="10" spans="2:14" x14ac:dyDescent="0.25">
      <c r="B10" s="230">
        <v>6</v>
      </c>
      <c r="C10" s="239" t="s">
        <v>246</v>
      </c>
      <c r="D10" s="240">
        <v>672606.48</v>
      </c>
      <c r="E10" s="240">
        <v>168151.62</v>
      </c>
      <c r="F10" s="240">
        <v>201781.94400000002</v>
      </c>
      <c r="G10" s="240">
        <v>168151.62</v>
      </c>
      <c r="H10" s="220">
        <v>235412.26800000001</v>
      </c>
      <c r="I10" s="220">
        <v>168151.62</v>
      </c>
      <c r="J10" s="220">
        <v>100890.97200000001</v>
      </c>
      <c r="K10" s="220">
        <v>176559.20100000003</v>
      </c>
      <c r="L10" s="220">
        <v>302672.91600000003</v>
      </c>
      <c r="M10" s="220">
        <v>252227.43</v>
      </c>
      <c r="N10" s="220">
        <f t="shared" si="0"/>
        <v>2446606.071</v>
      </c>
    </row>
    <row r="11" spans="2:14" x14ac:dyDescent="0.25">
      <c r="B11" s="230">
        <v>7</v>
      </c>
      <c r="C11" s="239" t="s">
        <v>526</v>
      </c>
      <c r="D11" s="240">
        <v>0</v>
      </c>
      <c r="E11" s="240">
        <v>168151.62</v>
      </c>
      <c r="F11" s="240">
        <v>201781.94400000002</v>
      </c>
      <c r="G11" s="240">
        <v>168151.62</v>
      </c>
      <c r="H11" s="220">
        <v>235412.26800000001</v>
      </c>
      <c r="I11" s="220">
        <v>168151.62</v>
      </c>
      <c r="J11" s="220">
        <v>100890.97200000001</v>
      </c>
      <c r="K11" s="220">
        <v>0</v>
      </c>
      <c r="L11" s="220">
        <v>302672.91600000003</v>
      </c>
      <c r="M11" s="220">
        <v>252227.43</v>
      </c>
      <c r="N11" s="220">
        <f t="shared" si="0"/>
        <v>1597440.39</v>
      </c>
    </row>
    <row r="12" spans="2:14" x14ac:dyDescent="0.25">
      <c r="B12" s="230">
        <v>8</v>
      </c>
      <c r="C12" s="239" t="s">
        <v>248</v>
      </c>
      <c r="D12" s="240">
        <v>672606.48</v>
      </c>
      <c r="E12" s="240">
        <v>168151.62</v>
      </c>
      <c r="F12" s="240">
        <v>201781.94400000002</v>
      </c>
      <c r="G12" s="240">
        <v>168151.62</v>
      </c>
      <c r="H12" s="220">
        <v>235412.26800000001</v>
      </c>
      <c r="I12" s="220">
        <v>168151.62</v>
      </c>
      <c r="J12" s="220">
        <v>100890.97200000001</v>
      </c>
      <c r="K12" s="220">
        <v>176559.20100000003</v>
      </c>
      <c r="L12" s="220">
        <v>302672.91600000003</v>
      </c>
      <c r="M12" s="220">
        <v>252227.43</v>
      </c>
      <c r="N12" s="220">
        <f t="shared" si="0"/>
        <v>2446606.071</v>
      </c>
    </row>
    <row r="13" spans="2:14" x14ac:dyDescent="0.25">
      <c r="B13" s="230">
        <v>9</v>
      </c>
      <c r="C13" s="241" t="s">
        <v>249</v>
      </c>
      <c r="D13" s="240">
        <v>0</v>
      </c>
      <c r="E13" s="240">
        <v>168151.62</v>
      </c>
      <c r="F13" s="240">
        <v>201781.94400000002</v>
      </c>
      <c r="G13" s="240">
        <v>168151.62</v>
      </c>
      <c r="H13" s="220">
        <v>235412.26800000001</v>
      </c>
      <c r="I13" s="220">
        <v>168151.62</v>
      </c>
      <c r="J13" s="220">
        <v>100890.97200000001</v>
      </c>
      <c r="K13" s="220">
        <v>0</v>
      </c>
      <c r="L13" s="220">
        <v>302672.91600000003</v>
      </c>
      <c r="M13" s="220">
        <v>252227.43</v>
      </c>
      <c r="N13" s="220">
        <f t="shared" si="0"/>
        <v>1597440.39</v>
      </c>
    </row>
    <row r="14" spans="2:14" x14ac:dyDescent="0.25">
      <c r="B14" s="230">
        <v>10</v>
      </c>
      <c r="C14" s="239" t="s">
        <v>250</v>
      </c>
      <c r="D14" s="240">
        <v>0</v>
      </c>
      <c r="E14" s="240">
        <v>168151.62</v>
      </c>
      <c r="F14" s="240">
        <v>201781.94400000002</v>
      </c>
      <c r="G14" s="240">
        <v>168151.62</v>
      </c>
      <c r="H14" s="220">
        <v>235412.26800000001</v>
      </c>
      <c r="I14" s="220">
        <v>168151.62</v>
      </c>
      <c r="J14" s="220">
        <v>100890.97200000001</v>
      </c>
      <c r="K14" s="220">
        <v>0</v>
      </c>
      <c r="L14" s="220">
        <v>302672.91600000003</v>
      </c>
      <c r="M14" s="220">
        <v>252227.43</v>
      </c>
      <c r="N14" s="220">
        <f t="shared" si="0"/>
        <v>1597440.39</v>
      </c>
    </row>
    <row r="15" spans="2:14" x14ac:dyDescent="0.25">
      <c r="B15" s="230">
        <v>11</v>
      </c>
      <c r="C15" s="239" t="s">
        <v>251</v>
      </c>
      <c r="D15" s="240">
        <v>672606.48</v>
      </c>
      <c r="E15" s="240">
        <v>168151.62</v>
      </c>
      <c r="F15" s="240">
        <v>201781.94400000002</v>
      </c>
      <c r="G15" s="240">
        <v>168151.62</v>
      </c>
      <c r="H15" s="220">
        <v>235412.26800000001</v>
      </c>
      <c r="I15" s="220">
        <v>168151.62</v>
      </c>
      <c r="J15" s="220">
        <v>100890.97200000001</v>
      </c>
      <c r="K15" s="220">
        <v>176559.20100000003</v>
      </c>
      <c r="L15" s="220">
        <v>302672.91600000003</v>
      </c>
      <c r="M15" s="220">
        <v>252227.43</v>
      </c>
      <c r="N15" s="220">
        <f t="shared" si="0"/>
        <v>2446606.071</v>
      </c>
    </row>
    <row r="16" spans="2:14" x14ac:dyDescent="0.25">
      <c r="B16" s="230">
        <v>12</v>
      </c>
      <c r="C16" s="239" t="s">
        <v>252</v>
      </c>
      <c r="D16" s="240">
        <v>0</v>
      </c>
      <c r="E16" s="240">
        <v>168151.62</v>
      </c>
      <c r="F16" s="240">
        <v>201781.94400000002</v>
      </c>
      <c r="G16" s="240">
        <v>168151.62</v>
      </c>
      <c r="H16" s="220">
        <v>235412.26800000001</v>
      </c>
      <c r="I16" s="220">
        <v>168151.62</v>
      </c>
      <c r="J16" s="220">
        <v>100890.97200000001</v>
      </c>
      <c r="K16" s="220">
        <v>0</v>
      </c>
      <c r="L16" s="220">
        <v>302672.91600000003</v>
      </c>
      <c r="M16" s="220">
        <v>252227.43</v>
      </c>
      <c r="N16" s="220">
        <f t="shared" si="0"/>
        <v>1597440.39</v>
      </c>
    </row>
    <row r="17" spans="2:14" x14ac:dyDescent="0.25">
      <c r="B17" s="230">
        <v>13</v>
      </c>
      <c r="C17" s="239" t="s">
        <v>253</v>
      </c>
      <c r="D17" s="240">
        <v>672606.48</v>
      </c>
      <c r="E17" s="240">
        <v>168151.62</v>
      </c>
      <c r="F17" s="240">
        <v>201781.94400000002</v>
      </c>
      <c r="G17" s="240">
        <v>168151.62</v>
      </c>
      <c r="H17" s="220">
        <v>235412.26800000001</v>
      </c>
      <c r="I17" s="220">
        <v>168151.62</v>
      </c>
      <c r="J17" s="220">
        <v>100890.97200000001</v>
      </c>
      <c r="K17" s="220">
        <v>176559.20100000003</v>
      </c>
      <c r="L17" s="220">
        <v>302672.91600000003</v>
      </c>
      <c r="M17" s="220">
        <v>252227.43</v>
      </c>
      <c r="N17" s="220">
        <f t="shared" si="0"/>
        <v>2446606.071</v>
      </c>
    </row>
    <row r="18" spans="2:14" x14ac:dyDescent="0.25">
      <c r="B18" s="230">
        <v>14</v>
      </c>
      <c r="C18" s="241" t="s">
        <v>254</v>
      </c>
      <c r="D18" s="240">
        <v>0</v>
      </c>
      <c r="E18" s="240">
        <v>168151.62</v>
      </c>
      <c r="F18" s="240">
        <v>201781.94400000002</v>
      </c>
      <c r="G18" s="240">
        <v>168151.62</v>
      </c>
      <c r="H18" s="220">
        <v>235412.26800000001</v>
      </c>
      <c r="I18" s="220">
        <v>168151.62</v>
      </c>
      <c r="J18" s="220">
        <v>100890.97200000001</v>
      </c>
      <c r="K18" s="220">
        <v>0</v>
      </c>
      <c r="L18" s="220">
        <v>302672.91600000003</v>
      </c>
      <c r="M18" s="220">
        <v>252227.43</v>
      </c>
      <c r="N18" s="220">
        <f t="shared" si="0"/>
        <v>1597440.39</v>
      </c>
    </row>
    <row r="19" spans="2:14" x14ac:dyDescent="0.25">
      <c r="B19" s="230">
        <v>15</v>
      </c>
      <c r="C19" s="239" t="s">
        <v>255</v>
      </c>
      <c r="D19" s="240">
        <v>672606.48</v>
      </c>
      <c r="E19" s="240">
        <v>168151.62</v>
      </c>
      <c r="F19" s="240">
        <v>201781.94400000002</v>
      </c>
      <c r="G19" s="240">
        <v>168151.62</v>
      </c>
      <c r="H19" s="220">
        <v>235412.26800000001</v>
      </c>
      <c r="I19" s="220">
        <v>168151.62</v>
      </c>
      <c r="J19" s="220">
        <v>100890.97200000001</v>
      </c>
      <c r="K19" s="220">
        <v>176559.20100000003</v>
      </c>
      <c r="L19" s="220">
        <v>302672.91600000003</v>
      </c>
      <c r="M19" s="220">
        <v>252227.43</v>
      </c>
      <c r="N19" s="220">
        <f t="shared" si="0"/>
        <v>2446606.071</v>
      </c>
    </row>
    <row r="20" spans="2:14" x14ac:dyDescent="0.25">
      <c r="B20" s="230">
        <v>16</v>
      </c>
      <c r="C20" s="239" t="s">
        <v>256</v>
      </c>
      <c r="D20" s="240">
        <v>672606.48</v>
      </c>
      <c r="E20" s="240">
        <v>168151.62</v>
      </c>
      <c r="F20" s="240">
        <v>201781.94400000002</v>
      </c>
      <c r="G20" s="240">
        <v>168151.62</v>
      </c>
      <c r="H20" s="220">
        <v>235412.26800000001</v>
      </c>
      <c r="I20" s="220">
        <v>168151.62</v>
      </c>
      <c r="J20" s="220">
        <v>100890.97200000001</v>
      </c>
      <c r="K20" s="220">
        <v>176559.20100000003</v>
      </c>
      <c r="L20" s="220">
        <v>302672.91600000003</v>
      </c>
      <c r="M20" s="220">
        <v>252227.43</v>
      </c>
      <c r="N20" s="220">
        <f t="shared" si="0"/>
        <v>2446606.071</v>
      </c>
    </row>
    <row r="21" spans="2:14" x14ac:dyDescent="0.25">
      <c r="B21" s="230">
        <v>17</v>
      </c>
      <c r="C21" s="239" t="s">
        <v>257</v>
      </c>
      <c r="D21" s="240">
        <v>672606.48</v>
      </c>
      <c r="E21" s="240">
        <v>168151.62</v>
      </c>
      <c r="F21" s="240">
        <v>201781.94400000002</v>
      </c>
      <c r="G21" s="240">
        <v>168151.62</v>
      </c>
      <c r="H21" s="220">
        <v>235412.26800000001</v>
      </c>
      <c r="I21" s="220">
        <v>168151.62</v>
      </c>
      <c r="J21" s="220">
        <v>100890.97200000001</v>
      </c>
      <c r="K21" s="220">
        <v>176559.20100000003</v>
      </c>
      <c r="L21" s="220">
        <v>302672.91600000003</v>
      </c>
      <c r="M21" s="220">
        <v>252227.43</v>
      </c>
      <c r="N21" s="220">
        <f t="shared" si="0"/>
        <v>2446606.071</v>
      </c>
    </row>
    <row r="22" spans="2:14" x14ac:dyDescent="0.25">
      <c r="B22" s="230">
        <v>18</v>
      </c>
      <c r="C22" s="239" t="s">
        <v>258</v>
      </c>
      <c r="D22" s="240">
        <v>672606.48</v>
      </c>
      <c r="E22" s="240">
        <v>168151.62</v>
      </c>
      <c r="F22" s="240">
        <v>201781.94400000002</v>
      </c>
      <c r="G22" s="240">
        <v>168151.62</v>
      </c>
      <c r="H22" s="220">
        <v>235412.26800000001</v>
      </c>
      <c r="I22" s="220">
        <v>168151.62</v>
      </c>
      <c r="J22" s="220">
        <v>100890.97200000001</v>
      </c>
      <c r="K22" s="220">
        <v>176559.20100000003</v>
      </c>
      <c r="L22" s="220">
        <v>302672.91600000003</v>
      </c>
      <c r="M22" s="220">
        <v>252227.43</v>
      </c>
      <c r="N22" s="220">
        <f t="shared" si="0"/>
        <v>2446606.071</v>
      </c>
    </row>
    <row r="23" spans="2:14" x14ac:dyDescent="0.25">
      <c r="B23" s="230">
        <v>19</v>
      </c>
      <c r="C23" s="239" t="s">
        <v>259</v>
      </c>
      <c r="D23" s="240">
        <v>882796.005</v>
      </c>
      <c r="E23" s="240">
        <v>168151.62</v>
      </c>
      <c r="F23" s="240">
        <v>201781.94400000002</v>
      </c>
      <c r="G23" s="240">
        <v>168151.62</v>
      </c>
      <c r="H23" s="220">
        <v>235412.26800000001</v>
      </c>
      <c r="I23" s="220">
        <v>168151.62</v>
      </c>
      <c r="J23" s="220">
        <v>100890.97200000001</v>
      </c>
      <c r="K23" s="220">
        <v>176559.20100000003</v>
      </c>
      <c r="L23" s="220">
        <v>605345.83200000005</v>
      </c>
      <c r="M23" s="220">
        <v>504454.86</v>
      </c>
      <c r="N23" s="220">
        <f t="shared" si="0"/>
        <v>3211695.9419999998</v>
      </c>
    </row>
    <row r="24" spans="2:14" x14ac:dyDescent="0.25">
      <c r="B24" s="230">
        <v>20</v>
      </c>
      <c r="C24" s="239" t="s">
        <v>260</v>
      </c>
      <c r="D24" s="242">
        <v>0</v>
      </c>
      <c r="E24" s="240">
        <v>168151.62</v>
      </c>
      <c r="F24" s="240">
        <v>201781.94400000002</v>
      </c>
      <c r="G24" s="240">
        <v>168151.62</v>
      </c>
      <c r="H24" s="220">
        <v>235412.26800000001</v>
      </c>
      <c r="I24" s="220">
        <v>168151.62</v>
      </c>
      <c r="J24" s="220">
        <v>100890.97200000001</v>
      </c>
      <c r="K24" s="220">
        <v>0</v>
      </c>
      <c r="L24" s="220">
        <v>302672.91600000003</v>
      </c>
      <c r="M24" s="220">
        <v>252227.43</v>
      </c>
      <c r="N24" s="220">
        <f t="shared" si="0"/>
        <v>1597440.39</v>
      </c>
    </row>
    <row r="25" spans="2:14" x14ac:dyDescent="0.25">
      <c r="B25" s="230">
        <v>21</v>
      </c>
      <c r="C25" s="239" t="s">
        <v>261</v>
      </c>
      <c r="D25" s="240">
        <v>672606.48</v>
      </c>
      <c r="E25" s="240">
        <v>168151.62</v>
      </c>
      <c r="F25" s="240">
        <v>201781.94400000002</v>
      </c>
      <c r="G25" s="240">
        <v>168151.62</v>
      </c>
      <c r="H25" s="220">
        <v>235412.26800000001</v>
      </c>
      <c r="I25" s="220">
        <v>168151.62</v>
      </c>
      <c r="J25" s="220">
        <v>100890.97200000001</v>
      </c>
      <c r="K25" s="220">
        <v>176559.20100000003</v>
      </c>
      <c r="L25" s="220">
        <v>302672.91600000003</v>
      </c>
      <c r="M25" s="220">
        <v>252227.43</v>
      </c>
      <c r="N25" s="220">
        <f t="shared" si="0"/>
        <v>2446606.071</v>
      </c>
    </row>
    <row r="26" spans="2:14" x14ac:dyDescent="0.25">
      <c r="B26" s="230">
        <v>22</v>
      </c>
      <c r="C26" s="239" t="s">
        <v>262</v>
      </c>
      <c r="D26" s="240">
        <v>672606.48</v>
      </c>
      <c r="E26" s="240">
        <v>168151.62</v>
      </c>
      <c r="F26" s="240">
        <v>201781.94400000002</v>
      </c>
      <c r="G26" s="240">
        <v>168151.62</v>
      </c>
      <c r="H26" s="220">
        <v>235412.26800000001</v>
      </c>
      <c r="I26" s="220">
        <v>168151.62</v>
      </c>
      <c r="J26" s="220">
        <v>100890.97200000001</v>
      </c>
      <c r="K26" s="220">
        <v>176559.20100000003</v>
      </c>
      <c r="L26" s="220">
        <v>302672.91600000003</v>
      </c>
      <c r="M26" s="220">
        <v>252227.43</v>
      </c>
      <c r="N26" s="220">
        <f t="shared" si="0"/>
        <v>2446606.071</v>
      </c>
    </row>
    <row r="27" spans="2:14" x14ac:dyDescent="0.25">
      <c r="B27" s="230">
        <v>23</v>
      </c>
      <c r="C27" s="239" t="s">
        <v>263</v>
      </c>
      <c r="D27" s="242">
        <v>0</v>
      </c>
      <c r="E27" s="240">
        <v>168151.62</v>
      </c>
      <c r="F27" s="240">
        <v>201781.94400000002</v>
      </c>
      <c r="G27" s="240">
        <v>168151.62</v>
      </c>
      <c r="H27" s="220">
        <v>235412.26800000001</v>
      </c>
      <c r="I27" s="220">
        <v>168151.62</v>
      </c>
      <c r="J27" s="220">
        <v>100890.97200000001</v>
      </c>
      <c r="K27" s="220">
        <v>0</v>
      </c>
      <c r="L27" s="220">
        <v>302672.91600000003</v>
      </c>
      <c r="M27" s="220">
        <v>252227.43</v>
      </c>
      <c r="N27" s="220">
        <f t="shared" si="0"/>
        <v>1597440.39</v>
      </c>
    </row>
    <row r="28" spans="2:14" x14ac:dyDescent="0.25">
      <c r="B28" s="282"/>
      <c r="C28" s="674"/>
      <c r="D28" s="675"/>
      <c r="E28" s="676"/>
      <c r="F28" s="676"/>
      <c r="G28" s="676"/>
      <c r="H28" s="659"/>
      <c r="I28" s="659"/>
      <c r="J28" s="659"/>
      <c r="K28" s="659"/>
      <c r="L28" s="659"/>
      <c r="M28" s="659"/>
      <c r="N28" s="659"/>
    </row>
    <row r="29" spans="2:14" x14ac:dyDescent="0.25">
      <c r="B29" s="610"/>
      <c r="C29" s="677"/>
      <c r="D29" s="678"/>
      <c r="E29" s="679"/>
      <c r="F29" s="679"/>
      <c r="G29" s="679"/>
      <c r="H29" s="660"/>
      <c r="I29" s="660"/>
      <c r="J29" s="660"/>
      <c r="K29" s="660"/>
      <c r="L29" s="660"/>
      <c r="M29" s="660"/>
      <c r="N29" s="660"/>
    </row>
    <row r="30" spans="2:14" x14ac:dyDescent="0.25">
      <c r="B30" s="610"/>
      <c r="C30" s="677"/>
      <c r="D30" s="678"/>
      <c r="E30" s="679"/>
      <c r="F30" s="679"/>
      <c r="G30" s="679"/>
      <c r="H30" s="660"/>
      <c r="I30" s="660"/>
      <c r="J30" s="660"/>
      <c r="K30" s="660"/>
      <c r="L30" s="660"/>
      <c r="M30" s="660"/>
      <c r="N30" s="660"/>
    </row>
    <row r="31" spans="2:14" x14ac:dyDescent="0.25">
      <c r="B31" s="610"/>
      <c r="C31" s="677"/>
      <c r="D31" s="678"/>
      <c r="E31" s="679"/>
      <c r="F31" s="679"/>
      <c r="G31" s="679"/>
      <c r="H31" s="660"/>
      <c r="I31" s="660"/>
      <c r="J31" s="660"/>
      <c r="K31" s="660"/>
      <c r="L31" s="660"/>
      <c r="M31" s="660"/>
      <c r="N31" s="660"/>
    </row>
    <row r="32" spans="2:14" x14ac:dyDescent="0.25">
      <c r="B32" s="230">
        <v>24</v>
      </c>
      <c r="C32" s="239" t="s">
        <v>264</v>
      </c>
      <c r="D32" s="240">
        <v>672606.48</v>
      </c>
      <c r="E32" s="240">
        <v>168151.62</v>
      </c>
      <c r="F32" s="240">
        <v>201781.94400000002</v>
      </c>
      <c r="G32" s="240">
        <v>168151.62</v>
      </c>
      <c r="H32" s="220">
        <v>235412.26800000001</v>
      </c>
      <c r="I32" s="220">
        <v>168151.62</v>
      </c>
      <c r="J32" s="220">
        <v>100890.97200000001</v>
      </c>
      <c r="K32" s="220">
        <v>176559.20100000003</v>
      </c>
      <c r="L32" s="220">
        <v>302672.91600000003</v>
      </c>
      <c r="M32" s="220">
        <v>252227.43</v>
      </c>
      <c r="N32" s="220">
        <f t="shared" si="0"/>
        <v>2446606.071</v>
      </c>
    </row>
    <row r="33" spans="2:14" x14ac:dyDescent="0.25">
      <c r="B33" s="230">
        <v>25</v>
      </c>
      <c r="C33" s="239" t="s">
        <v>265</v>
      </c>
      <c r="D33" s="240">
        <v>882796.005</v>
      </c>
      <c r="E33" s="240">
        <v>168151.62</v>
      </c>
      <c r="F33" s="240">
        <v>201781.94400000002</v>
      </c>
      <c r="G33" s="240">
        <v>168151.62</v>
      </c>
      <c r="H33" s="220">
        <v>235412.26800000001</v>
      </c>
      <c r="I33" s="220">
        <v>168151.62</v>
      </c>
      <c r="J33" s="220">
        <v>100890.97200000001</v>
      </c>
      <c r="K33" s="220">
        <v>176559.20100000003</v>
      </c>
      <c r="L33" s="220">
        <v>605345.83200000005</v>
      </c>
      <c r="M33" s="220">
        <v>504454.86</v>
      </c>
      <c r="N33" s="220">
        <f t="shared" si="0"/>
        <v>3211695.9419999998</v>
      </c>
    </row>
    <row r="34" spans="2:14" x14ac:dyDescent="0.25">
      <c r="B34" s="230">
        <v>26</v>
      </c>
      <c r="C34" s="239" t="s">
        <v>266</v>
      </c>
      <c r="D34" s="242">
        <v>0</v>
      </c>
      <c r="E34" s="240">
        <v>168151.62</v>
      </c>
      <c r="F34" s="240">
        <v>201781.94400000002</v>
      </c>
      <c r="G34" s="240">
        <v>168151.62</v>
      </c>
      <c r="H34" s="220">
        <v>235412.26800000001</v>
      </c>
      <c r="I34" s="220">
        <v>168151.62</v>
      </c>
      <c r="J34" s="220">
        <v>100890.97200000001</v>
      </c>
      <c r="K34" s="220">
        <v>0</v>
      </c>
      <c r="L34" s="220">
        <v>302672.91600000003</v>
      </c>
      <c r="M34" s="220">
        <v>252227.43</v>
      </c>
      <c r="N34" s="220">
        <f t="shared" si="0"/>
        <v>1597440.39</v>
      </c>
    </row>
    <row r="35" spans="2:14" x14ac:dyDescent="0.25">
      <c r="B35" s="230">
        <v>27</v>
      </c>
      <c r="C35" s="239" t="s">
        <v>267</v>
      </c>
      <c r="D35" s="240">
        <v>672606.48</v>
      </c>
      <c r="E35" s="240">
        <v>168151.62</v>
      </c>
      <c r="F35" s="240">
        <v>201781.94400000002</v>
      </c>
      <c r="G35" s="240">
        <v>168151.62</v>
      </c>
      <c r="H35" s="220">
        <v>235412.26800000001</v>
      </c>
      <c r="I35" s="220">
        <v>168151.62</v>
      </c>
      <c r="J35" s="220">
        <v>100890.97200000001</v>
      </c>
      <c r="K35" s="220">
        <v>176559.20100000003</v>
      </c>
      <c r="L35" s="220">
        <v>302672.91600000003</v>
      </c>
      <c r="M35" s="220">
        <v>252227.43</v>
      </c>
      <c r="N35" s="220">
        <f t="shared" si="0"/>
        <v>2446606.071</v>
      </c>
    </row>
    <row r="36" spans="2:14" x14ac:dyDescent="0.25">
      <c r="B36" s="230">
        <v>28</v>
      </c>
      <c r="C36" s="239" t="s">
        <v>268</v>
      </c>
      <c r="D36" s="240">
        <v>672606.48</v>
      </c>
      <c r="E36" s="240">
        <v>168151.62</v>
      </c>
      <c r="F36" s="240">
        <v>201781.94400000002</v>
      </c>
      <c r="G36" s="240">
        <v>168151.62</v>
      </c>
      <c r="H36" s="220">
        <v>235412.26800000001</v>
      </c>
      <c r="I36" s="220">
        <v>168151.62</v>
      </c>
      <c r="J36" s="220">
        <v>100890.97200000001</v>
      </c>
      <c r="K36" s="220">
        <v>176559.20100000003</v>
      </c>
      <c r="L36" s="220">
        <v>302672.91600000003</v>
      </c>
      <c r="M36" s="220">
        <v>252227.43</v>
      </c>
      <c r="N36" s="220">
        <f t="shared" si="0"/>
        <v>2446606.071</v>
      </c>
    </row>
    <row r="37" spans="2:14" x14ac:dyDescent="0.25">
      <c r="B37" s="230">
        <v>29</v>
      </c>
      <c r="C37" s="239" t="s">
        <v>269</v>
      </c>
      <c r="D37" s="240">
        <v>672606.48</v>
      </c>
      <c r="E37" s="240">
        <v>168151.62</v>
      </c>
      <c r="F37" s="240">
        <v>201781.94400000002</v>
      </c>
      <c r="G37" s="240">
        <v>168151.62</v>
      </c>
      <c r="H37" s="220">
        <v>235412.26800000001</v>
      </c>
      <c r="I37" s="220">
        <v>168151.62</v>
      </c>
      <c r="J37" s="220">
        <v>100890.97200000001</v>
      </c>
      <c r="K37" s="220">
        <v>176559.20100000003</v>
      </c>
      <c r="L37" s="220">
        <v>302672.91600000003</v>
      </c>
      <c r="M37" s="220">
        <v>252227.43</v>
      </c>
      <c r="N37" s="220">
        <f t="shared" si="0"/>
        <v>2446606.071</v>
      </c>
    </row>
    <row r="38" spans="2:14" x14ac:dyDescent="0.25">
      <c r="B38" s="230">
        <v>30</v>
      </c>
      <c r="C38" s="239" t="s">
        <v>270</v>
      </c>
      <c r="D38" s="240">
        <v>672606.48</v>
      </c>
      <c r="E38" s="240">
        <v>168151.62</v>
      </c>
      <c r="F38" s="240">
        <v>201781.94400000002</v>
      </c>
      <c r="G38" s="240">
        <v>168151.62</v>
      </c>
      <c r="H38" s="220">
        <v>235412.26800000001</v>
      </c>
      <c r="I38" s="220">
        <v>168151.62</v>
      </c>
      <c r="J38" s="220">
        <v>100890.97200000001</v>
      </c>
      <c r="K38" s="220">
        <v>176559.20100000003</v>
      </c>
      <c r="L38" s="220">
        <v>302672.91600000003</v>
      </c>
      <c r="M38" s="220">
        <v>252227.43</v>
      </c>
      <c r="N38" s="220">
        <f t="shared" si="0"/>
        <v>2446606.071</v>
      </c>
    </row>
    <row r="39" spans="2:14" x14ac:dyDescent="0.25">
      <c r="B39" s="230">
        <v>31</v>
      </c>
      <c r="C39" s="239" t="s">
        <v>271</v>
      </c>
      <c r="D39" s="240">
        <v>672606.48</v>
      </c>
      <c r="E39" s="240">
        <v>168151.62</v>
      </c>
      <c r="F39" s="240">
        <v>201781.94400000002</v>
      </c>
      <c r="G39" s="240">
        <v>168151.62</v>
      </c>
      <c r="H39" s="220">
        <v>235412.26800000001</v>
      </c>
      <c r="I39" s="220">
        <v>168151.62</v>
      </c>
      <c r="J39" s="220">
        <v>100890.97200000001</v>
      </c>
      <c r="K39" s="220">
        <v>176559.20100000003</v>
      </c>
      <c r="L39" s="220">
        <v>302672.91600000003</v>
      </c>
      <c r="M39" s="220">
        <v>252227.43</v>
      </c>
      <c r="N39" s="220">
        <f t="shared" si="0"/>
        <v>2446606.071</v>
      </c>
    </row>
    <row r="40" spans="2:14" x14ac:dyDescent="0.25">
      <c r="B40" s="230">
        <v>32</v>
      </c>
      <c r="C40" s="239" t="s">
        <v>272</v>
      </c>
      <c r="D40" s="242">
        <v>0</v>
      </c>
      <c r="E40" s="240">
        <v>168151.62</v>
      </c>
      <c r="F40" s="240">
        <v>201781.94400000002</v>
      </c>
      <c r="G40" s="240">
        <v>168151.62</v>
      </c>
      <c r="H40" s="220">
        <v>235412.26800000001</v>
      </c>
      <c r="I40" s="220">
        <v>168151.62</v>
      </c>
      <c r="J40" s="220">
        <v>100890.97200000001</v>
      </c>
      <c r="K40" s="220">
        <v>0</v>
      </c>
      <c r="L40" s="220">
        <v>302672.91600000003</v>
      </c>
      <c r="M40" s="220">
        <v>252227.43</v>
      </c>
      <c r="N40" s="220">
        <f t="shared" si="0"/>
        <v>1597440.39</v>
      </c>
    </row>
    <row r="41" spans="2:14" x14ac:dyDescent="0.25">
      <c r="B41" s="230">
        <v>33</v>
      </c>
      <c r="C41" s="239" t="s">
        <v>273</v>
      </c>
      <c r="D41" s="242">
        <v>0</v>
      </c>
      <c r="E41" s="240">
        <v>168151.62</v>
      </c>
      <c r="F41" s="240">
        <v>201781.94400000002</v>
      </c>
      <c r="G41" s="240">
        <v>168151.62</v>
      </c>
      <c r="H41" s="220">
        <v>235412.26800000001</v>
      </c>
      <c r="I41" s="220">
        <v>168151.62</v>
      </c>
      <c r="J41" s="220">
        <v>100890.97200000001</v>
      </c>
      <c r="K41" s="220">
        <v>0</v>
      </c>
      <c r="L41" s="220">
        <v>302672.91600000003</v>
      </c>
      <c r="M41" s="220">
        <v>252227.43</v>
      </c>
      <c r="N41" s="220">
        <f t="shared" si="0"/>
        <v>1597440.39</v>
      </c>
    </row>
    <row r="42" spans="2:14" x14ac:dyDescent="0.25">
      <c r="B42" s="230">
        <v>34</v>
      </c>
      <c r="C42" s="239" t="s">
        <v>274</v>
      </c>
      <c r="D42" s="240">
        <v>672606.48</v>
      </c>
      <c r="E42" s="240">
        <v>168151.62</v>
      </c>
      <c r="F42" s="240">
        <v>201781.94400000002</v>
      </c>
      <c r="G42" s="240">
        <v>168151.62</v>
      </c>
      <c r="H42" s="220">
        <v>235412.26800000001</v>
      </c>
      <c r="I42" s="220">
        <v>168151.62</v>
      </c>
      <c r="J42" s="220">
        <v>100890.97200000001</v>
      </c>
      <c r="K42" s="220">
        <v>176559.20100000003</v>
      </c>
      <c r="L42" s="220">
        <v>302672.91600000003</v>
      </c>
      <c r="M42" s="220">
        <v>252227.43</v>
      </c>
      <c r="N42" s="220">
        <f t="shared" si="0"/>
        <v>2446606.071</v>
      </c>
    </row>
    <row r="43" spans="2:14" x14ac:dyDescent="0.25">
      <c r="B43" s="230">
        <v>35</v>
      </c>
      <c r="C43" s="239" t="s">
        <v>275</v>
      </c>
      <c r="D43" s="240">
        <v>672606.48</v>
      </c>
      <c r="E43" s="240">
        <v>168151.62</v>
      </c>
      <c r="F43" s="240">
        <v>201781.94400000002</v>
      </c>
      <c r="G43" s="240">
        <v>168151.62</v>
      </c>
      <c r="H43" s="220">
        <v>235412.26800000001</v>
      </c>
      <c r="I43" s="220">
        <v>168151.62</v>
      </c>
      <c r="J43" s="220">
        <v>100890.97200000001</v>
      </c>
      <c r="K43" s="220">
        <v>176559.20100000003</v>
      </c>
      <c r="L43" s="220">
        <v>302672.91600000003</v>
      </c>
      <c r="M43" s="220">
        <v>252227.43</v>
      </c>
      <c r="N43" s="220">
        <f t="shared" si="0"/>
        <v>2446606.071</v>
      </c>
    </row>
    <row r="44" spans="2:14" x14ac:dyDescent="0.25">
      <c r="B44" s="230">
        <v>36</v>
      </c>
      <c r="C44" s="239" t="s">
        <v>296</v>
      </c>
      <c r="D44" s="240">
        <v>882796.005</v>
      </c>
      <c r="E44" s="240">
        <v>168151.62</v>
      </c>
      <c r="F44" s="240">
        <v>201781.94400000002</v>
      </c>
      <c r="G44" s="240">
        <v>168151.62</v>
      </c>
      <c r="H44" s="220">
        <v>235412.26800000001</v>
      </c>
      <c r="I44" s="220">
        <v>168151.62</v>
      </c>
      <c r="J44" s="220">
        <v>100890.97200000001</v>
      </c>
      <c r="K44" s="220">
        <v>176559.20100000003</v>
      </c>
      <c r="L44" s="220">
        <v>605345.83200000005</v>
      </c>
      <c r="M44" s="220">
        <v>504454.86</v>
      </c>
      <c r="N44" s="220">
        <f t="shared" si="0"/>
        <v>3211695.9419999998</v>
      </c>
    </row>
    <row r="45" spans="2:14" x14ac:dyDescent="0.25">
      <c r="B45" s="230">
        <v>37</v>
      </c>
      <c r="C45" s="239" t="s">
        <v>277</v>
      </c>
      <c r="D45" s="240">
        <v>882796.005</v>
      </c>
      <c r="E45" s="240">
        <v>168151.62</v>
      </c>
      <c r="F45" s="240">
        <v>201781.94400000002</v>
      </c>
      <c r="G45" s="240">
        <v>168151.62</v>
      </c>
      <c r="H45" s="220">
        <v>235412.26800000001</v>
      </c>
      <c r="I45" s="220">
        <v>168151.62</v>
      </c>
      <c r="J45" s="220">
        <v>100890.97200000001</v>
      </c>
      <c r="K45" s="220">
        <v>176559.20100000003</v>
      </c>
      <c r="L45" s="220">
        <v>605345.83200000005</v>
      </c>
      <c r="M45" s="220">
        <v>504454.86</v>
      </c>
      <c r="N45" s="220">
        <f t="shared" si="0"/>
        <v>3211695.9419999998</v>
      </c>
    </row>
    <row r="46" spans="2:14" x14ac:dyDescent="0.25">
      <c r="B46" s="230">
        <v>38</v>
      </c>
      <c r="C46" s="239" t="s">
        <v>278</v>
      </c>
      <c r="D46" s="240">
        <v>882796.005</v>
      </c>
      <c r="E46" s="240">
        <v>168151.62</v>
      </c>
      <c r="F46" s="240">
        <v>201781.94400000002</v>
      </c>
      <c r="G46" s="240">
        <v>168151.62</v>
      </c>
      <c r="H46" s="220">
        <v>235412.26800000001</v>
      </c>
      <c r="I46" s="220">
        <v>168151.62</v>
      </c>
      <c r="J46" s="220">
        <v>100890.97200000001</v>
      </c>
      <c r="K46" s="220">
        <v>176559.20100000003</v>
      </c>
      <c r="L46" s="220">
        <v>605345.83200000005</v>
      </c>
      <c r="M46" s="220">
        <v>504454.86</v>
      </c>
      <c r="N46" s="220">
        <f t="shared" si="0"/>
        <v>3211695.9419999998</v>
      </c>
    </row>
    <row r="47" spans="2:14" x14ac:dyDescent="0.25">
      <c r="B47" s="230">
        <v>39</v>
      </c>
      <c r="C47" s="241" t="s">
        <v>279</v>
      </c>
      <c r="D47" s="243">
        <v>0</v>
      </c>
      <c r="E47" s="240">
        <v>168151.62</v>
      </c>
      <c r="F47" s="240">
        <v>201781.94400000002</v>
      </c>
      <c r="G47" s="240">
        <v>168151.62</v>
      </c>
      <c r="H47" s="220">
        <v>235412.26800000001</v>
      </c>
      <c r="I47" s="220">
        <v>168151.62</v>
      </c>
      <c r="J47" s="220">
        <v>100890.97200000001</v>
      </c>
      <c r="K47" s="220">
        <v>0</v>
      </c>
      <c r="L47" s="220">
        <v>302672.91600000003</v>
      </c>
      <c r="M47" s="220">
        <v>252227.43</v>
      </c>
      <c r="N47" s="220">
        <f t="shared" si="0"/>
        <v>1597440.39</v>
      </c>
    </row>
    <row r="48" spans="2:14" x14ac:dyDescent="0.25">
      <c r="B48" s="244">
        <v>40</v>
      </c>
      <c r="C48" s="239" t="s">
        <v>280</v>
      </c>
      <c r="D48" s="242">
        <v>0</v>
      </c>
      <c r="E48" s="242">
        <v>0</v>
      </c>
      <c r="F48" s="242">
        <v>0</v>
      </c>
      <c r="G48" s="242">
        <v>0</v>
      </c>
      <c r="H48" s="220">
        <v>0</v>
      </c>
      <c r="I48" s="220">
        <v>0</v>
      </c>
      <c r="J48" s="220">
        <v>0</v>
      </c>
      <c r="K48" s="220">
        <v>0</v>
      </c>
      <c r="L48" s="220">
        <v>302672.91600000003</v>
      </c>
      <c r="M48" s="220">
        <v>0</v>
      </c>
      <c r="N48" s="220">
        <f t="shared" si="0"/>
        <v>302672.91600000003</v>
      </c>
    </row>
    <row r="49" spans="2:14" ht="15" customHeight="1" x14ac:dyDescent="0.25">
      <c r="B49" s="1036" t="s">
        <v>297</v>
      </c>
      <c r="C49" s="1037"/>
      <c r="D49" s="245">
        <f>SUM(D5:D48)</f>
        <v>19421512.110000007</v>
      </c>
      <c r="E49" s="245">
        <f>SUM(E5:E48)</f>
        <v>6557913.1800000034</v>
      </c>
      <c r="F49" s="245">
        <f t="shared" ref="F49:M49" si="1">SUM(F5:F48)</f>
        <v>7869495.8160000043</v>
      </c>
      <c r="G49" s="245">
        <f t="shared" si="1"/>
        <v>6557913.1800000034</v>
      </c>
      <c r="H49" s="245">
        <f t="shared" si="1"/>
        <v>9181078.4520000014</v>
      </c>
      <c r="I49" s="245">
        <f t="shared" si="1"/>
        <v>6557913.1800000034</v>
      </c>
      <c r="J49" s="245">
        <f t="shared" si="1"/>
        <v>3934747.9080000021</v>
      </c>
      <c r="K49" s="245">
        <f t="shared" si="1"/>
        <v>4767098.4270000011</v>
      </c>
      <c r="L49" s="245">
        <f t="shared" si="1"/>
        <v>13922954.135999996</v>
      </c>
      <c r="M49" s="245">
        <f t="shared" si="1"/>
        <v>11350234.349999994</v>
      </c>
      <c r="N49" s="246">
        <f>SUM(N5:N48)</f>
        <v>90120860.739000008</v>
      </c>
    </row>
    <row r="50" spans="2:14" x14ac:dyDescent="0.25">
      <c r="B50" s="247"/>
      <c r="C50" s="248"/>
      <c r="D50" s="249"/>
      <c r="E50" s="249"/>
      <c r="F50" s="249"/>
      <c r="G50" s="249"/>
      <c r="H50" s="249"/>
      <c r="I50" s="249"/>
      <c r="J50" s="1033" t="s">
        <v>282</v>
      </c>
      <c r="K50" s="1034"/>
      <c r="L50" s="1034"/>
      <c r="M50" s="1035"/>
      <c r="N50" s="246">
        <f>N49*0.16</f>
        <v>14419337.718240002</v>
      </c>
    </row>
    <row r="51" spans="2:14" x14ac:dyDescent="0.25">
      <c r="B51" s="247"/>
      <c r="C51" s="248"/>
      <c r="D51" s="249"/>
      <c r="E51" s="249"/>
      <c r="F51" s="249"/>
      <c r="G51" s="249"/>
      <c r="H51" s="249"/>
      <c r="I51" s="249"/>
      <c r="J51" s="1033" t="s">
        <v>161</v>
      </c>
      <c r="K51" s="1034"/>
      <c r="L51" s="1034"/>
      <c r="M51" s="1035"/>
      <c r="N51" s="246">
        <f>SUM(N49:N50)</f>
        <v>104540198.45724002</v>
      </c>
    </row>
    <row r="52" spans="2:14" x14ac:dyDescent="0.25">
      <c r="B52" s="247"/>
      <c r="C52" s="248"/>
      <c r="D52" s="249"/>
      <c r="E52" s="249"/>
      <c r="F52" s="249"/>
      <c r="G52" s="249"/>
      <c r="H52" s="249"/>
      <c r="I52" s="249"/>
      <c r="J52" s="1033" t="s">
        <v>583</v>
      </c>
      <c r="K52" s="1034"/>
      <c r="L52" s="1034"/>
      <c r="M52" s="1035"/>
      <c r="N52" s="246">
        <f>N51*0.7</f>
        <v>73178138.920068011</v>
      </c>
    </row>
  </sheetData>
  <mergeCells count="5">
    <mergeCell ref="J50:M50"/>
    <mergeCell ref="J51:M51"/>
    <mergeCell ref="J52:M52"/>
    <mergeCell ref="B3:N3"/>
    <mergeCell ref="B49:C49"/>
  </mergeCells>
  <pageMargins left="0.7" right="0.7" top="0.75" bottom="0.75" header="0.3" footer="0.3"/>
  <pageSetup paperSize="5" scale="9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00B0F0"/>
  </sheetPr>
  <dimension ref="A1:P49"/>
  <sheetViews>
    <sheetView view="pageLayout" workbookViewId="0">
      <selection activeCell="A3" sqref="A3"/>
    </sheetView>
  </sheetViews>
  <sheetFormatPr baseColWidth="10" defaultRowHeight="15" x14ac:dyDescent="0.25"/>
  <cols>
    <col min="1" max="1" width="11.42578125" style="113"/>
    <col min="2" max="2" width="5.42578125" style="262" customWidth="1"/>
    <col min="3" max="3" width="20.28515625" customWidth="1"/>
    <col min="4" max="14" width="11.5703125" bestFit="1" customWidth="1"/>
    <col min="15" max="15" width="11.5703125" customWidth="1"/>
    <col min="16" max="16" width="12.5703125" bestFit="1" customWidth="1"/>
  </cols>
  <sheetData>
    <row r="1" spans="2:16" s="113" customFormat="1" x14ac:dyDescent="0.25">
      <c r="B1" s="262"/>
    </row>
    <row r="2" spans="2:16" x14ac:dyDescent="0.25">
      <c r="B2" s="1032" t="s">
        <v>1420</v>
      </c>
      <c r="C2" s="1032"/>
      <c r="D2" s="1032"/>
      <c r="E2" s="1032"/>
      <c r="F2" s="1032"/>
      <c r="G2" s="1032"/>
      <c r="H2" s="1032"/>
      <c r="I2" s="1032"/>
      <c r="J2" s="1032"/>
      <c r="K2" s="1032"/>
      <c r="L2" s="1032"/>
      <c r="M2" s="1032"/>
      <c r="N2" s="1032"/>
      <c r="O2" s="1032"/>
      <c r="P2" s="1032"/>
    </row>
    <row r="3" spans="2:16" x14ac:dyDescent="0.25">
      <c r="B3" s="1038" t="s">
        <v>346</v>
      </c>
      <c r="C3" s="1041" t="s">
        <v>287</v>
      </c>
      <c r="D3" s="887" t="s">
        <v>629</v>
      </c>
      <c r="E3" s="887" t="s">
        <v>630</v>
      </c>
      <c r="F3" s="887" t="s">
        <v>631</v>
      </c>
      <c r="G3" s="887" t="s">
        <v>632</v>
      </c>
      <c r="H3" s="887" t="s">
        <v>633</v>
      </c>
      <c r="I3" s="887" t="s">
        <v>634</v>
      </c>
      <c r="J3" s="887" t="s">
        <v>635</v>
      </c>
      <c r="K3" s="887" t="s">
        <v>636</v>
      </c>
      <c r="L3" s="887" t="s">
        <v>637</v>
      </c>
      <c r="M3" s="887" t="s">
        <v>638</v>
      </c>
      <c r="N3" s="887" t="s">
        <v>639</v>
      </c>
      <c r="O3" s="887" t="s">
        <v>640</v>
      </c>
      <c r="P3" s="1038" t="s">
        <v>1460</v>
      </c>
    </row>
    <row r="4" spans="2:16" x14ac:dyDescent="0.25">
      <c r="B4" s="1039"/>
      <c r="C4" s="1042"/>
      <c r="D4" s="887"/>
      <c r="E4" s="887"/>
      <c r="F4" s="887"/>
      <c r="G4" s="887"/>
      <c r="H4" s="887"/>
      <c r="I4" s="887"/>
      <c r="J4" s="887"/>
      <c r="K4" s="887"/>
      <c r="L4" s="887"/>
      <c r="M4" s="887"/>
      <c r="N4" s="887"/>
      <c r="O4" s="887"/>
      <c r="P4" s="1039"/>
    </row>
    <row r="5" spans="2:16" x14ac:dyDescent="0.25">
      <c r="B5" s="1040"/>
      <c r="C5" s="1043"/>
      <c r="D5" s="887"/>
      <c r="E5" s="887"/>
      <c r="F5" s="887"/>
      <c r="G5" s="887"/>
      <c r="H5" s="887"/>
      <c r="I5" s="887"/>
      <c r="J5" s="887"/>
      <c r="K5" s="887"/>
      <c r="L5" s="887"/>
      <c r="M5" s="887"/>
      <c r="N5" s="887"/>
      <c r="O5" s="887"/>
      <c r="P5" s="1040"/>
    </row>
    <row r="6" spans="2:16" x14ac:dyDescent="0.25">
      <c r="B6" s="230">
        <v>1</v>
      </c>
      <c r="C6" s="254" t="s">
        <v>241</v>
      </c>
      <c r="D6" s="219">
        <v>350000</v>
      </c>
      <c r="E6" s="219">
        <v>0</v>
      </c>
      <c r="F6" s="219">
        <v>0</v>
      </c>
      <c r="G6" s="219">
        <v>350000</v>
      </c>
      <c r="H6" s="219">
        <v>0</v>
      </c>
      <c r="I6" s="219">
        <v>0</v>
      </c>
      <c r="J6" s="219">
        <v>350000</v>
      </c>
      <c r="K6" s="219">
        <v>0</v>
      </c>
      <c r="L6" s="219">
        <v>0</v>
      </c>
      <c r="M6" s="219">
        <v>350000</v>
      </c>
      <c r="N6" s="219">
        <v>0</v>
      </c>
      <c r="O6" s="219">
        <v>0</v>
      </c>
      <c r="P6" s="219">
        <f t="shared" ref="P6:P43" si="0">SUM(D6:O6)</f>
        <v>1400000</v>
      </c>
    </row>
    <row r="7" spans="2:16" x14ac:dyDescent="0.25">
      <c r="B7" s="230">
        <v>2</v>
      </c>
      <c r="C7" s="254" t="s">
        <v>242</v>
      </c>
      <c r="D7" s="219">
        <v>350000</v>
      </c>
      <c r="E7" s="219">
        <v>0</v>
      </c>
      <c r="F7" s="219">
        <v>0</v>
      </c>
      <c r="G7" s="219">
        <v>350000</v>
      </c>
      <c r="H7" s="219">
        <v>0</v>
      </c>
      <c r="I7" s="219">
        <v>0</v>
      </c>
      <c r="J7" s="219">
        <v>350000</v>
      </c>
      <c r="K7" s="219">
        <v>0</v>
      </c>
      <c r="L7" s="219">
        <v>0</v>
      </c>
      <c r="M7" s="219">
        <v>350000</v>
      </c>
      <c r="N7" s="219">
        <v>0</v>
      </c>
      <c r="O7" s="219">
        <v>0</v>
      </c>
      <c r="P7" s="219">
        <f t="shared" si="0"/>
        <v>1400000</v>
      </c>
    </row>
    <row r="8" spans="2:16" x14ac:dyDescent="0.25">
      <c r="B8" s="230">
        <v>3</v>
      </c>
      <c r="C8" s="254" t="s">
        <v>243</v>
      </c>
      <c r="D8" s="219">
        <v>350000</v>
      </c>
      <c r="E8" s="219">
        <v>0</v>
      </c>
      <c r="F8" s="219">
        <v>0</v>
      </c>
      <c r="G8" s="219">
        <v>350000</v>
      </c>
      <c r="H8" s="219">
        <v>0</v>
      </c>
      <c r="I8" s="219">
        <v>0</v>
      </c>
      <c r="J8" s="219">
        <v>350000</v>
      </c>
      <c r="K8" s="219">
        <v>0</v>
      </c>
      <c r="L8" s="219">
        <v>0</v>
      </c>
      <c r="M8" s="219">
        <v>350000</v>
      </c>
      <c r="N8" s="219">
        <v>0</v>
      </c>
      <c r="O8" s="219">
        <v>0</v>
      </c>
      <c r="P8" s="219">
        <f t="shared" si="0"/>
        <v>1400000</v>
      </c>
    </row>
    <row r="9" spans="2:16" x14ac:dyDescent="0.25">
      <c r="B9" s="230">
        <v>4</v>
      </c>
      <c r="C9" s="254" t="s">
        <v>244</v>
      </c>
      <c r="D9" s="219">
        <v>350000</v>
      </c>
      <c r="E9" s="219">
        <v>0</v>
      </c>
      <c r="F9" s="219">
        <v>0</v>
      </c>
      <c r="G9" s="219">
        <v>350000</v>
      </c>
      <c r="H9" s="219">
        <v>0</v>
      </c>
      <c r="I9" s="219">
        <v>0</v>
      </c>
      <c r="J9" s="219">
        <v>350000</v>
      </c>
      <c r="K9" s="219">
        <v>0</v>
      </c>
      <c r="L9" s="219">
        <v>0</v>
      </c>
      <c r="M9" s="219">
        <v>350000</v>
      </c>
      <c r="N9" s="219">
        <v>0</v>
      </c>
      <c r="O9" s="219">
        <v>0</v>
      </c>
      <c r="P9" s="219">
        <f t="shared" si="0"/>
        <v>1400000</v>
      </c>
    </row>
    <row r="10" spans="2:16" x14ac:dyDescent="0.25">
      <c r="B10" s="230">
        <v>5</v>
      </c>
      <c r="C10" s="254" t="s">
        <v>245</v>
      </c>
      <c r="D10" s="219">
        <v>350000</v>
      </c>
      <c r="E10" s="219">
        <v>0</v>
      </c>
      <c r="F10" s="219">
        <v>0</v>
      </c>
      <c r="G10" s="219">
        <v>350000</v>
      </c>
      <c r="H10" s="219">
        <v>0</v>
      </c>
      <c r="I10" s="219">
        <v>0</v>
      </c>
      <c r="J10" s="219">
        <v>350000</v>
      </c>
      <c r="K10" s="219">
        <v>0</v>
      </c>
      <c r="L10" s="219">
        <v>0</v>
      </c>
      <c r="M10" s="219">
        <v>350000</v>
      </c>
      <c r="N10" s="219">
        <v>0</v>
      </c>
      <c r="O10" s="219">
        <v>0</v>
      </c>
      <c r="P10" s="219">
        <f t="shared" si="0"/>
        <v>1400000</v>
      </c>
    </row>
    <row r="11" spans="2:16" x14ac:dyDescent="0.25">
      <c r="B11" s="230">
        <v>6</v>
      </c>
      <c r="C11" s="254" t="s">
        <v>246</v>
      </c>
      <c r="D11" s="219">
        <v>350000</v>
      </c>
      <c r="E11" s="219">
        <v>0</v>
      </c>
      <c r="F11" s="219">
        <v>0</v>
      </c>
      <c r="G11" s="219">
        <v>350000</v>
      </c>
      <c r="H11" s="219">
        <v>0</v>
      </c>
      <c r="I11" s="219">
        <v>0</v>
      </c>
      <c r="J11" s="219">
        <v>350000</v>
      </c>
      <c r="K11" s="219">
        <v>0</v>
      </c>
      <c r="L11" s="219">
        <v>0</v>
      </c>
      <c r="M11" s="219">
        <v>350000</v>
      </c>
      <c r="N11" s="219">
        <v>0</v>
      </c>
      <c r="O11" s="219">
        <v>0</v>
      </c>
      <c r="P11" s="219">
        <f t="shared" si="0"/>
        <v>1400000</v>
      </c>
    </row>
    <row r="12" spans="2:16" x14ac:dyDescent="0.25">
      <c r="B12" s="230">
        <v>7</v>
      </c>
      <c r="C12" s="254" t="s">
        <v>248</v>
      </c>
      <c r="D12" s="219">
        <v>350000</v>
      </c>
      <c r="E12" s="219">
        <v>0</v>
      </c>
      <c r="F12" s="219">
        <v>0</v>
      </c>
      <c r="G12" s="219">
        <v>350000</v>
      </c>
      <c r="H12" s="219">
        <v>0</v>
      </c>
      <c r="I12" s="219">
        <v>0</v>
      </c>
      <c r="J12" s="219">
        <v>350000</v>
      </c>
      <c r="K12" s="219">
        <v>0</v>
      </c>
      <c r="L12" s="219">
        <v>0</v>
      </c>
      <c r="M12" s="219">
        <v>350000</v>
      </c>
      <c r="N12" s="219">
        <v>0</v>
      </c>
      <c r="O12" s="219">
        <v>0</v>
      </c>
      <c r="P12" s="219">
        <f t="shared" si="0"/>
        <v>1400000</v>
      </c>
    </row>
    <row r="13" spans="2:16" x14ac:dyDescent="0.25">
      <c r="B13" s="230">
        <v>8</v>
      </c>
      <c r="C13" s="258" t="s">
        <v>249</v>
      </c>
      <c r="D13" s="219">
        <v>350000</v>
      </c>
      <c r="E13" s="219">
        <v>0</v>
      </c>
      <c r="F13" s="219">
        <v>0</v>
      </c>
      <c r="G13" s="219">
        <v>350000</v>
      </c>
      <c r="H13" s="219">
        <v>0</v>
      </c>
      <c r="I13" s="219">
        <v>0</v>
      </c>
      <c r="J13" s="219">
        <v>350000</v>
      </c>
      <c r="K13" s="219">
        <v>0</v>
      </c>
      <c r="L13" s="219">
        <v>0</v>
      </c>
      <c r="M13" s="219">
        <v>350000</v>
      </c>
      <c r="N13" s="219">
        <v>0</v>
      </c>
      <c r="O13" s="219">
        <v>0</v>
      </c>
      <c r="P13" s="219">
        <f t="shared" si="0"/>
        <v>1400000</v>
      </c>
    </row>
    <row r="14" spans="2:16" x14ac:dyDescent="0.25">
      <c r="B14" s="230">
        <v>9</v>
      </c>
      <c r="C14" s="254" t="s">
        <v>250</v>
      </c>
      <c r="D14" s="219">
        <v>350000</v>
      </c>
      <c r="E14" s="219">
        <v>0</v>
      </c>
      <c r="F14" s="219">
        <v>0</v>
      </c>
      <c r="G14" s="219">
        <v>350000</v>
      </c>
      <c r="H14" s="219">
        <v>0</v>
      </c>
      <c r="I14" s="219">
        <v>0</v>
      </c>
      <c r="J14" s="219">
        <v>350000</v>
      </c>
      <c r="K14" s="219">
        <v>0</v>
      </c>
      <c r="L14" s="219">
        <v>0</v>
      </c>
      <c r="M14" s="219">
        <v>350000</v>
      </c>
      <c r="N14" s="219">
        <v>0</v>
      </c>
      <c r="O14" s="219">
        <v>0</v>
      </c>
      <c r="P14" s="219">
        <f t="shared" si="0"/>
        <v>1400000</v>
      </c>
    </row>
    <row r="15" spans="2:16" x14ac:dyDescent="0.25">
      <c r="B15" s="230">
        <v>10</v>
      </c>
      <c r="C15" s="254" t="s">
        <v>251</v>
      </c>
      <c r="D15" s="219">
        <v>350000</v>
      </c>
      <c r="E15" s="219">
        <v>0</v>
      </c>
      <c r="F15" s="219">
        <v>0</v>
      </c>
      <c r="G15" s="219">
        <v>350000</v>
      </c>
      <c r="H15" s="219">
        <v>0</v>
      </c>
      <c r="I15" s="219">
        <v>0</v>
      </c>
      <c r="J15" s="219">
        <v>350000</v>
      </c>
      <c r="K15" s="219">
        <v>0</v>
      </c>
      <c r="L15" s="219">
        <v>0</v>
      </c>
      <c r="M15" s="219">
        <v>350000</v>
      </c>
      <c r="N15" s="219">
        <v>0</v>
      </c>
      <c r="O15" s="219">
        <v>0</v>
      </c>
      <c r="P15" s="219">
        <f t="shared" si="0"/>
        <v>1400000</v>
      </c>
    </row>
    <row r="16" spans="2:16" x14ac:dyDescent="0.25">
      <c r="B16" s="230">
        <v>11</v>
      </c>
      <c r="C16" s="254" t="s">
        <v>252</v>
      </c>
      <c r="D16" s="219">
        <v>350000</v>
      </c>
      <c r="E16" s="219">
        <v>0</v>
      </c>
      <c r="F16" s="219">
        <v>0</v>
      </c>
      <c r="G16" s="219">
        <v>350000</v>
      </c>
      <c r="H16" s="219">
        <v>0</v>
      </c>
      <c r="I16" s="219">
        <v>0</v>
      </c>
      <c r="J16" s="219">
        <v>350000</v>
      </c>
      <c r="K16" s="219">
        <v>0</v>
      </c>
      <c r="L16" s="219">
        <v>0</v>
      </c>
      <c r="M16" s="219">
        <v>350000</v>
      </c>
      <c r="N16" s="219">
        <v>0</v>
      </c>
      <c r="O16" s="219">
        <v>0</v>
      </c>
      <c r="P16" s="219">
        <f t="shared" si="0"/>
        <v>1400000</v>
      </c>
    </row>
    <row r="17" spans="2:16" x14ac:dyDescent="0.25">
      <c r="B17" s="230">
        <v>12</v>
      </c>
      <c r="C17" s="254" t="s">
        <v>253</v>
      </c>
      <c r="D17" s="219">
        <v>350000</v>
      </c>
      <c r="E17" s="219">
        <v>0</v>
      </c>
      <c r="F17" s="219">
        <v>0</v>
      </c>
      <c r="G17" s="219">
        <v>350000</v>
      </c>
      <c r="H17" s="219">
        <v>0</v>
      </c>
      <c r="I17" s="219">
        <v>0</v>
      </c>
      <c r="J17" s="219">
        <v>350000</v>
      </c>
      <c r="K17" s="219">
        <v>0</v>
      </c>
      <c r="L17" s="219">
        <v>0</v>
      </c>
      <c r="M17" s="219">
        <v>350000</v>
      </c>
      <c r="N17" s="219">
        <v>0</v>
      </c>
      <c r="O17" s="219">
        <v>0</v>
      </c>
      <c r="P17" s="219">
        <f t="shared" si="0"/>
        <v>1400000</v>
      </c>
    </row>
    <row r="18" spans="2:16" x14ac:dyDescent="0.25">
      <c r="B18" s="230">
        <v>13</v>
      </c>
      <c r="C18" s="258" t="s">
        <v>254</v>
      </c>
      <c r="D18" s="219">
        <v>0</v>
      </c>
      <c r="E18" s="219">
        <v>350000</v>
      </c>
      <c r="F18" s="219">
        <v>0</v>
      </c>
      <c r="G18" s="219">
        <v>0</v>
      </c>
      <c r="H18" s="219">
        <v>0</v>
      </c>
      <c r="I18" s="219">
        <v>0</v>
      </c>
      <c r="J18" s="219">
        <v>0</v>
      </c>
      <c r="K18" s="219">
        <v>350000</v>
      </c>
      <c r="L18" s="219">
        <v>0</v>
      </c>
      <c r="M18" s="219">
        <v>0</v>
      </c>
      <c r="N18" s="219">
        <v>350000</v>
      </c>
      <c r="O18" s="219">
        <v>0</v>
      </c>
      <c r="P18" s="219">
        <f t="shared" si="0"/>
        <v>1050000</v>
      </c>
    </row>
    <row r="19" spans="2:16" x14ac:dyDescent="0.25">
      <c r="B19" s="230">
        <v>14</v>
      </c>
      <c r="C19" s="254" t="s">
        <v>255</v>
      </c>
      <c r="D19" s="219">
        <v>0</v>
      </c>
      <c r="E19" s="219">
        <v>350000</v>
      </c>
      <c r="F19" s="219">
        <v>0</v>
      </c>
      <c r="G19" s="219">
        <v>0</v>
      </c>
      <c r="H19" s="219">
        <v>0</v>
      </c>
      <c r="I19" s="219">
        <v>0</v>
      </c>
      <c r="J19" s="219">
        <v>0</v>
      </c>
      <c r="K19" s="219">
        <v>350000</v>
      </c>
      <c r="L19" s="219">
        <v>0</v>
      </c>
      <c r="M19" s="219">
        <v>0</v>
      </c>
      <c r="N19" s="219">
        <v>350000</v>
      </c>
      <c r="O19" s="219">
        <v>0</v>
      </c>
      <c r="P19" s="219">
        <f t="shared" si="0"/>
        <v>1050000</v>
      </c>
    </row>
    <row r="20" spans="2:16" x14ac:dyDescent="0.25">
      <c r="B20" s="230">
        <v>15</v>
      </c>
      <c r="C20" s="254" t="s">
        <v>256</v>
      </c>
      <c r="D20" s="219">
        <v>0</v>
      </c>
      <c r="E20" s="219">
        <v>350000</v>
      </c>
      <c r="F20" s="219">
        <v>0</v>
      </c>
      <c r="G20" s="219">
        <v>0</v>
      </c>
      <c r="H20" s="219">
        <v>0</v>
      </c>
      <c r="I20" s="219">
        <v>0</v>
      </c>
      <c r="J20" s="219">
        <v>0</v>
      </c>
      <c r="K20" s="219">
        <v>350000</v>
      </c>
      <c r="L20" s="219">
        <v>0</v>
      </c>
      <c r="M20" s="219">
        <v>0</v>
      </c>
      <c r="N20" s="219">
        <v>350000</v>
      </c>
      <c r="O20" s="219">
        <v>0</v>
      </c>
      <c r="P20" s="219">
        <f t="shared" si="0"/>
        <v>1050000</v>
      </c>
    </row>
    <row r="21" spans="2:16" x14ac:dyDescent="0.25">
      <c r="B21" s="230">
        <v>16</v>
      </c>
      <c r="C21" s="254" t="s">
        <v>257</v>
      </c>
      <c r="D21" s="219">
        <v>0</v>
      </c>
      <c r="E21" s="219">
        <v>350000</v>
      </c>
      <c r="F21" s="219">
        <v>0</v>
      </c>
      <c r="G21" s="219">
        <v>0</v>
      </c>
      <c r="H21" s="219">
        <v>0</v>
      </c>
      <c r="I21" s="219">
        <v>0</v>
      </c>
      <c r="J21" s="219">
        <v>0</v>
      </c>
      <c r="K21" s="219">
        <v>350000</v>
      </c>
      <c r="L21" s="219">
        <v>0</v>
      </c>
      <c r="M21" s="219">
        <v>0</v>
      </c>
      <c r="N21" s="219">
        <v>350000</v>
      </c>
      <c r="O21" s="219">
        <v>0</v>
      </c>
      <c r="P21" s="219">
        <f t="shared" si="0"/>
        <v>1050000</v>
      </c>
    </row>
    <row r="22" spans="2:16" x14ac:dyDescent="0.25">
      <c r="B22" s="230">
        <v>17</v>
      </c>
      <c r="C22" s="254" t="s">
        <v>258</v>
      </c>
      <c r="D22" s="219">
        <v>0</v>
      </c>
      <c r="E22" s="219">
        <v>350000</v>
      </c>
      <c r="F22" s="219">
        <v>0</v>
      </c>
      <c r="G22" s="219">
        <v>0</v>
      </c>
      <c r="H22" s="219">
        <v>0</v>
      </c>
      <c r="I22" s="219">
        <v>0</v>
      </c>
      <c r="J22" s="219">
        <v>0</v>
      </c>
      <c r="K22" s="219">
        <v>350000</v>
      </c>
      <c r="L22" s="219">
        <v>0</v>
      </c>
      <c r="M22" s="219">
        <v>0</v>
      </c>
      <c r="N22" s="219">
        <v>350000</v>
      </c>
      <c r="O22" s="219">
        <v>0</v>
      </c>
      <c r="P22" s="219">
        <f t="shared" si="0"/>
        <v>1050000</v>
      </c>
    </row>
    <row r="23" spans="2:16" x14ac:dyDescent="0.25">
      <c r="B23" s="230">
        <v>18</v>
      </c>
      <c r="C23" s="254" t="s">
        <v>259</v>
      </c>
      <c r="D23" s="219">
        <v>0</v>
      </c>
      <c r="E23" s="219">
        <v>350000</v>
      </c>
      <c r="F23" s="219">
        <v>0</v>
      </c>
      <c r="G23" s="219">
        <v>0</v>
      </c>
      <c r="H23" s="219">
        <v>0</v>
      </c>
      <c r="I23" s="219">
        <v>0</v>
      </c>
      <c r="J23" s="219">
        <v>0</v>
      </c>
      <c r="K23" s="219">
        <v>350000</v>
      </c>
      <c r="L23" s="219">
        <v>0</v>
      </c>
      <c r="M23" s="219">
        <v>0</v>
      </c>
      <c r="N23" s="219">
        <v>350000</v>
      </c>
      <c r="O23" s="219">
        <v>0</v>
      </c>
      <c r="P23" s="219">
        <f t="shared" si="0"/>
        <v>1050000</v>
      </c>
    </row>
    <row r="24" spans="2:16" x14ac:dyDescent="0.25">
      <c r="B24" s="230">
        <v>19</v>
      </c>
      <c r="C24" s="254" t="s">
        <v>260</v>
      </c>
      <c r="D24" s="219">
        <v>0</v>
      </c>
      <c r="E24" s="219">
        <v>350000</v>
      </c>
      <c r="F24" s="219">
        <v>0</v>
      </c>
      <c r="G24" s="219">
        <v>0</v>
      </c>
      <c r="H24" s="219">
        <v>0</v>
      </c>
      <c r="I24" s="219">
        <v>0</v>
      </c>
      <c r="J24" s="219">
        <v>0</v>
      </c>
      <c r="K24" s="219">
        <v>350000</v>
      </c>
      <c r="L24" s="219">
        <v>0</v>
      </c>
      <c r="M24" s="219">
        <v>0</v>
      </c>
      <c r="N24" s="219">
        <v>350000</v>
      </c>
      <c r="O24" s="219">
        <v>0</v>
      </c>
      <c r="P24" s="219">
        <f t="shared" si="0"/>
        <v>1050000</v>
      </c>
    </row>
    <row r="25" spans="2:16" x14ac:dyDescent="0.25">
      <c r="B25" s="230">
        <v>20</v>
      </c>
      <c r="C25" s="254" t="s">
        <v>261</v>
      </c>
      <c r="D25" s="219">
        <v>0</v>
      </c>
      <c r="E25" s="219">
        <v>350000</v>
      </c>
      <c r="F25" s="219">
        <v>0</v>
      </c>
      <c r="G25" s="219">
        <v>0</v>
      </c>
      <c r="H25" s="219">
        <v>0</v>
      </c>
      <c r="I25" s="219">
        <v>0</v>
      </c>
      <c r="J25" s="219">
        <v>0</v>
      </c>
      <c r="K25" s="219">
        <v>350000</v>
      </c>
      <c r="L25" s="219">
        <v>0</v>
      </c>
      <c r="M25" s="219">
        <v>0</v>
      </c>
      <c r="N25" s="219">
        <v>350000</v>
      </c>
      <c r="O25" s="219">
        <v>0</v>
      </c>
      <c r="P25" s="219">
        <f t="shared" si="0"/>
        <v>1050000</v>
      </c>
    </row>
    <row r="26" spans="2:16" x14ac:dyDescent="0.25">
      <c r="B26" s="230">
        <v>21</v>
      </c>
      <c r="C26" s="254" t="s">
        <v>262</v>
      </c>
      <c r="D26" s="219">
        <v>0</v>
      </c>
      <c r="E26" s="219">
        <v>350000</v>
      </c>
      <c r="F26" s="219">
        <v>0</v>
      </c>
      <c r="G26" s="219">
        <v>0</v>
      </c>
      <c r="H26" s="219">
        <v>0</v>
      </c>
      <c r="I26" s="219">
        <v>0</v>
      </c>
      <c r="J26" s="219">
        <v>0</v>
      </c>
      <c r="K26" s="219">
        <v>350000</v>
      </c>
      <c r="L26" s="219">
        <v>0</v>
      </c>
      <c r="M26" s="219">
        <v>0</v>
      </c>
      <c r="N26" s="219">
        <v>350000</v>
      </c>
      <c r="O26" s="219">
        <v>0</v>
      </c>
      <c r="P26" s="219">
        <f t="shared" si="0"/>
        <v>1050000</v>
      </c>
    </row>
    <row r="27" spans="2:16" x14ac:dyDescent="0.25">
      <c r="B27" s="230">
        <v>22</v>
      </c>
      <c r="C27" s="254" t="s">
        <v>263</v>
      </c>
      <c r="D27" s="219">
        <v>0</v>
      </c>
      <c r="E27" s="219">
        <v>350000</v>
      </c>
      <c r="F27" s="219">
        <v>0</v>
      </c>
      <c r="G27" s="219">
        <v>0</v>
      </c>
      <c r="H27" s="219">
        <v>0</v>
      </c>
      <c r="I27" s="219">
        <v>0</v>
      </c>
      <c r="J27" s="219">
        <v>0</v>
      </c>
      <c r="K27" s="219">
        <v>350000</v>
      </c>
      <c r="L27" s="219">
        <v>0</v>
      </c>
      <c r="M27" s="219">
        <v>0</v>
      </c>
      <c r="N27" s="219">
        <v>350000</v>
      </c>
      <c r="O27" s="219">
        <v>0</v>
      </c>
      <c r="P27" s="219">
        <f t="shared" si="0"/>
        <v>1050000</v>
      </c>
    </row>
    <row r="28" spans="2:16" x14ac:dyDescent="0.25">
      <c r="B28" s="230">
        <v>23</v>
      </c>
      <c r="C28" s="254" t="s">
        <v>264</v>
      </c>
      <c r="D28" s="219">
        <v>0</v>
      </c>
      <c r="E28" s="219">
        <v>350000</v>
      </c>
      <c r="F28" s="219">
        <v>0</v>
      </c>
      <c r="G28" s="219">
        <v>0</v>
      </c>
      <c r="H28" s="219">
        <v>0</v>
      </c>
      <c r="I28" s="219">
        <v>0</v>
      </c>
      <c r="J28" s="219">
        <v>0</v>
      </c>
      <c r="K28" s="219">
        <v>350000</v>
      </c>
      <c r="L28" s="219">
        <v>0</v>
      </c>
      <c r="M28" s="219">
        <v>0</v>
      </c>
      <c r="N28" s="219">
        <v>350000</v>
      </c>
      <c r="O28" s="219">
        <v>0</v>
      </c>
      <c r="P28" s="219">
        <f t="shared" si="0"/>
        <v>1050000</v>
      </c>
    </row>
    <row r="29" spans="2:16" x14ac:dyDescent="0.25">
      <c r="B29" s="230">
        <v>24</v>
      </c>
      <c r="C29" s="254" t="s">
        <v>265</v>
      </c>
      <c r="D29" s="219">
        <v>0</v>
      </c>
      <c r="E29" s="219">
        <v>350000</v>
      </c>
      <c r="F29" s="219">
        <v>0</v>
      </c>
      <c r="G29" s="219">
        <v>0</v>
      </c>
      <c r="H29" s="219">
        <v>0</v>
      </c>
      <c r="I29" s="219">
        <v>0</v>
      </c>
      <c r="J29" s="219">
        <v>0</v>
      </c>
      <c r="K29" s="219">
        <v>350000</v>
      </c>
      <c r="L29" s="219">
        <v>0</v>
      </c>
      <c r="M29" s="219">
        <v>0</v>
      </c>
      <c r="N29" s="219">
        <v>350000</v>
      </c>
      <c r="O29" s="219">
        <v>0</v>
      </c>
      <c r="P29" s="219">
        <f t="shared" si="0"/>
        <v>1050000</v>
      </c>
    </row>
    <row r="30" spans="2:16" x14ac:dyDescent="0.25">
      <c r="B30" s="230">
        <v>25</v>
      </c>
      <c r="C30" s="254" t="s">
        <v>266</v>
      </c>
      <c r="D30" s="219">
        <v>0</v>
      </c>
      <c r="E30" s="219">
        <v>0</v>
      </c>
      <c r="F30" s="219">
        <v>350000</v>
      </c>
      <c r="G30" s="219">
        <v>0</v>
      </c>
      <c r="H30" s="219">
        <v>350000</v>
      </c>
      <c r="I30" s="219">
        <v>350000</v>
      </c>
      <c r="J30" s="219">
        <v>0</v>
      </c>
      <c r="K30" s="219">
        <v>0</v>
      </c>
      <c r="L30" s="219">
        <v>350000</v>
      </c>
      <c r="M30" s="219">
        <v>0</v>
      </c>
      <c r="N30" s="219">
        <v>0</v>
      </c>
      <c r="O30" s="219">
        <v>350000</v>
      </c>
      <c r="P30" s="219">
        <f t="shared" si="0"/>
        <v>1750000</v>
      </c>
    </row>
    <row r="31" spans="2:16" x14ac:dyDescent="0.25">
      <c r="B31" s="230">
        <v>26</v>
      </c>
      <c r="C31" s="254" t="s">
        <v>267</v>
      </c>
      <c r="D31" s="219">
        <v>0</v>
      </c>
      <c r="E31" s="219">
        <v>0</v>
      </c>
      <c r="F31" s="219">
        <v>350000</v>
      </c>
      <c r="G31" s="219">
        <v>0</v>
      </c>
      <c r="H31" s="219">
        <v>350000</v>
      </c>
      <c r="I31" s="219">
        <v>350000</v>
      </c>
      <c r="J31" s="219">
        <v>0</v>
      </c>
      <c r="K31" s="219">
        <v>0</v>
      </c>
      <c r="L31" s="219">
        <v>350000</v>
      </c>
      <c r="M31" s="219">
        <v>0</v>
      </c>
      <c r="N31" s="219">
        <v>0</v>
      </c>
      <c r="O31" s="219">
        <v>350000</v>
      </c>
      <c r="P31" s="219">
        <f t="shared" si="0"/>
        <v>1750000</v>
      </c>
    </row>
    <row r="32" spans="2:16" x14ac:dyDescent="0.25">
      <c r="B32" s="230">
        <v>27</v>
      </c>
      <c r="C32" s="254" t="s">
        <v>268</v>
      </c>
      <c r="D32" s="219">
        <v>0</v>
      </c>
      <c r="E32" s="219">
        <v>0</v>
      </c>
      <c r="F32" s="219">
        <v>350000</v>
      </c>
      <c r="G32" s="219">
        <v>0</v>
      </c>
      <c r="H32" s="219">
        <v>350000</v>
      </c>
      <c r="I32" s="219">
        <v>350000</v>
      </c>
      <c r="J32" s="219">
        <v>0</v>
      </c>
      <c r="K32" s="219">
        <v>0</v>
      </c>
      <c r="L32" s="219">
        <v>350000</v>
      </c>
      <c r="M32" s="219">
        <v>0</v>
      </c>
      <c r="N32" s="219">
        <v>0</v>
      </c>
      <c r="O32" s="219">
        <v>350000</v>
      </c>
      <c r="P32" s="219">
        <f t="shared" si="0"/>
        <v>1750000</v>
      </c>
    </row>
    <row r="33" spans="2:16" x14ac:dyDescent="0.25">
      <c r="B33" s="230">
        <v>28</v>
      </c>
      <c r="C33" s="254" t="s">
        <v>269</v>
      </c>
      <c r="D33" s="219">
        <v>0</v>
      </c>
      <c r="E33" s="219">
        <v>0</v>
      </c>
      <c r="F33" s="219">
        <v>350000</v>
      </c>
      <c r="G33" s="219">
        <v>0</v>
      </c>
      <c r="H33" s="219">
        <v>350000</v>
      </c>
      <c r="I33" s="219">
        <v>350000</v>
      </c>
      <c r="J33" s="219">
        <v>0</v>
      </c>
      <c r="K33" s="219">
        <v>0</v>
      </c>
      <c r="L33" s="219">
        <v>350000</v>
      </c>
      <c r="M33" s="219">
        <v>0</v>
      </c>
      <c r="N33" s="219">
        <v>0</v>
      </c>
      <c r="O33" s="219">
        <v>350000</v>
      </c>
      <c r="P33" s="219">
        <f t="shared" si="0"/>
        <v>1750000</v>
      </c>
    </row>
    <row r="34" spans="2:16" x14ac:dyDescent="0.25">
      <c r="B34" s="230">
        <v>29</v>
      </c>
      <c r="C34" s="254" t="s">
        <v>270</v>
      </c>
      <c r="D34" s="219">
        <v>0</v>
      </c>
      <c r="E34" s="219">
        <v>0</v>
      </c>
      <c r="F34" s="219">
        <v>350000</v>
      </c>
      <c r="G34" s="219">
        <v>0</v>
      </c>
      <c r="H34" s="219">
        <v>350000</v>
      </c>
      <c r="I34" s="219">
        <v>350000</v>
      </c>
      <c r="J34" s="219">
        <v>0</v>
      </c>
      <c r="K34" s="219">
        <v>0</v>
      </c>
      <c r="L34" s="219">
        <v>350000</v>
      </c>
      <c r="M34" s="219">
        <v>0</v>
      </c>
      <c r="N34" s="219">
        <v>0</v>
      </c>
      <c r="O34" s="219">
        <v>350000</v>
      </c>
      <c r="P34" s="219">
        <f t="shared" si="0"/>
        <v>1750000</v>
      </c>
    </row>
    <row r="35" spans="2:16" x14ac:dyDescent="0.25">
      <c r="B35" s="230">
        <v>30</v>
      </c>
      <c r="C35" s="254" t="s">
        <v>271</v>
      </c>
      <c r="D35" s="219">
        <v>0</v>
      </c>
      <c r="E35" s="219">
        <v>0</v>
      </c>
      <c r="F35" s="219">
        <v>350000</v>
      </c>
      <c r="G35" s="219">
        <v>0</v>
      </c>
      <c r="H35" s="219">
        <v>350000</v>
      </c>
      <c r="I35" s="219">
        <v>350000</v>
      </c>
      <c r="J35" s="219">
        <v>0</v>
      </c>
      <c r="K35" s="219">
        <v>0</v>
      </c>
      <c r="L35" s="219">
        <v>350000</v>
      </c>
      <c r="M35" s="219">
        <v>0</v>
      </c>
      <c r="N35" s="219">
        <v>0</v>
      </c>
      <c r="O35" s="219">
        <v>350000</v>
      </c>
      <c r="P35" s="219">
        <f t="shared" si="0"/>
        <v>1750000</v>
      </c>
    </row>
    <row r="36" spans="2:16" x14ac:dyDescent="0.25">
      <c r="B36" s="230">
        <v>31</v>
      </c>
      <c r="C36" s="254" t="s">
        <v>272</v>
      </c>
      <c r="D36" s="219">
        <v>0</v>
      </c>
      <c r="E36" s="219">
        <v>0</v>
      </c>
      <c r="F36" s="219">
        <v>350000</v>
      </c>
      <c r="G36" s="219">
        <v>0</v>
      </c>
      <c r="H36" s="219">
        <v>350000</v>
      </c>
      <c r="I36" s="219">
        <v>350000</v>
      </c>
      <c r="J36" s="219">
        <v>0</v>
      </c>
      <c r="K36" s="219">
        <v>0</v>
      </c>
      <c r="L36" s="219">
        <v>350000</v>
      </c>
      <c r="M36" s="219">
        <v>0</v>
      </c>
      <c r="N36" s="219">
        <v>0</v>
      </c>
      <c r="O36" s="219">
        <v>350000</v>
      </c>
      <c r="P36" s="219">
        <f t="shared" si="0"/>
        <v>1750000</v>
      </c>
    </row>
    <row r="37" spans="2:16" x14ac:dyDescent="0.25">
      <c r="B37" s="230">
        <v>32</v>
      </c>
      <c r="C37" s="254" t="s">
        <v>273</v>
      </c>
      <c r="D37" s="219">
        <v>0</v>
      </c>
      <c r="E37" s="219">
        <v>0</v>
      </c>
      <c r="F37" s="219">
        <v>350000</v>
      </c>
      <c r="G37" s="219">
        <v>0</v>
      </c>
      <c r="H37" s="219">
        <v>350000</v>
      </c>
      <c r="I37" s="219">
        <v>350000</v>
      </c>
      <c r="J37" s="219">
        <v>0</v>
      </c>
      <c r="K37" s="219">
        <v>0</v>
      </c>
      <c r="L37" s="219">
        <v>350000</v>
      </c>
      <c r="M37" s="219">
        <v>0</v>
      </c>
      <c r="N37" s="219">
        <v>0</v>
      </c>
      <c r="O37" s="219">
        <v>350000</v>
      </c>
      <c r="P37" s="219">
        <f t="shared" si="0"/>
        <v>1750000</v>
      </c>
    </row>
    <row r="38" spans="2:16" x14ac:dyDescent="0.25">
      <c r="B38" s="230">
        <v>33</v>
      </c>
      <c r="C38" s="254" t="s">
        <v>274</v>
      </c>
      <c r="D38" s="219">
        <v>0</v>
      </c>
      <c r="E38" s="219">
        <v>0</v>
      </c>
      <c r="F38" s="219">
        <v>350000</v>
      </c>
      <c r="G38" s="219">
        <v>0</v>
      </c>
      <c r="H38" s="219">
        <v>350000</v>
      </c>
      <c r="I38" s="219">
        <v>350000</v>
      </c>
      <c r="J38" s="219">
        <v>0</v>
      </c>
      <c r="K38" s="219">
        <v>0</v>
      </c>
      <c r="L38" s="219">
        <v>350000</v>
      </c>
      <c r="M38" s="219">
        <v>0</v>
      </c>
      <c r="N38" s="219">
        <v>0</v>
      </c>
      <c r="O38" s="219">
        <v>350000</v>
      </c>
      <c r="P38" s="219">
        <f t="shared" si="0"/>
        <v>1750000</v>
      </c>
    </row>
    <row r="39" spans="2:16" x14ac:dyDescent="0.25">
      <c r="B39" s="230">
        <v>34</v>
      </c>
      <c r="C39" s="254" t="s">
        <v>275</v>
      </c>
      <c r="D39" s="219">
        <v>0</v>
      </c>
      <c r="E39" s="219">
        <v>0</v>
      </c>
      <c r="F39" s="219">
        <v>350000</v>
      </c>
      <c r="G39" s="219">
        <v>0</v>
      </c>
      <c r="H39" s="219">
        <v>350000</v>
      </c>
      <c r="I39" s="219">
        <v>350000</v>
      </c>
      <c r="J39" s="219">
        <v>0</v>
      </c>
      <c r="K39" s="219">
        <v>0</v>
      </c>
      <c r="L39" s="219">
        <v>350000</v>
      </c>
      <c r="M39" s="219">
        <v>0</v>
      </c>
      <c r="N39" s="219">
        <v>0</v>
      </c>
      <c r="O39" s="219">
        <v>350000</v>
      </c>
      <c r="P39" s="219">
        <f t="shared" si="0"/>
        <v>1750000</v>
      </c>
    </row>
    <row r="40" spans="2:16" x14ac:dyDescent="0.25">
      <c r="B40" s="230">
        <v>35</v>
      </c>
      <c r="C40" s="254" t="s">
        <v>296</v>
      </c>
      <c r="D40" s="219">
        <v>0</v>
      </c>
      <c r="E40" s="219">
        <v>0</v>
      </c>
      <c r="F40" s="219">
        <v>350000</v>
      </c>
      <c r="G40" s="219">
        <v>0</v>
      </c>
      <c r="H40" s="219">
        <v>350000</v>
      </c>
      <c r="I40" s="219">
        <v>350000</v>
      </c>
      <c r="J40" s="219">
        <v>0</v>
      </c>
      <c r="K40" s="219">
        <v>0</v>
      </c>
      <c r="L40" s="219">
        <v>350000</v>
      </c>
      <c r="M40" s="219">
        <v>0</v>
      </c>
      <c r="N40" s="219">
        <v>0</v>
      </c>
      <c r="O40" s="219">
        <v>350000</v>
      </c>
      <c r="P40" s="219">
        <f t="shared" si="0"/>
        <v>1750000</v>
      </c>
    </row>
    <row r="41" spans="2:16" x14ac:dyDescent="0.25">
      <c r="B41" s="230">
        <v>36</v>
      </c>
      <c r="C41" s="254" t="s">
        <v>277</v>
      </c>
      <c r="D41" s="219">
        <v>0</v>
      </c>
      <c r="E41" s="219">
        <v>0</v>
      </c>
      <c r="F41" s="219">
        <v>350000</v>
      </c>
      <c r="G41" s="219">
        <v>0</v>
      </c>
      <c r="H41" s="219">
        <v>350000</v>
      </c>
      <c r="I41" s="219">
        <v>350000</v>
      </c>
      <c r="J41" s="219">
        <v>0</v>
      </c>
      <c r="K41" s="219">
        <v>0</v>
      </c>
      <c r="L41" s="219">
        <v>350000</v>
      </c>
      <c r="M41" s="219">
        <v>0</v>
      </c>
      <c r="N41" s="219">
        <v>0</v>
      </c>
      <c r="O41" s="219">
        <v>350000</v>
      </c>
      <c r="P41" s="219">
        <f t="shared" si="0"/>
        <v>1750000</v>
      </c>
    </row>
    <row r="42" spans="2:16" x14ac:dyDescent="0.25">
      <c r="B42" s="230">
        <v>37</v>
      </c>
      <c r="C42" s="254" t="s">
        <v>278</v>
      </c>
      <c r="D42" s="219">
        <v>0</v>
      </c>
      <c r="E42" s="219">
        <v>0</v>
      </c>
      <c r="F42" s="219">
        <v>350000</v>
      </c>
      <c r="G42" s="219">
        <v>0</v>
      </c>
      <c r="H42" s="219">
        <v>350000</v>
      </c>
      <c r="I42" s="219">
        <v>350000</v>
      </c>
      <c r="J42" s="219">
        <v>0</v>
      </c>
      <c r="K42" s="219">
        <v>0</v>
      </c>
      <c r="L42" s="219">
        <v>350000</v>
      </c>
      <c r="M42" s="219">
        <v>0</v>
      </c>
      <c r="N42" s="219">
        <v>0</v>
      </c>
      <c r="O42" s="219">
        <v>350000</v>
      </c>
      <c r="P42" s="219">
        <f t="shared" si="0"/>
        <v>1750000</v>
      </c>
    </row>
    <row r="43" spans="2:16" x14ac:dyDescent="0.25">
      <c r="B43" s="230">
        <v>38</v>
      </c>
      <c r="C43" s="258" t="s">
        <v>279</v>
      </c>
      <c r="D43" s="219">
        <v>0</v>
      </c>
      <c r="E43" s="219">
        <v>0</v>
      </c>
      <c r="F43" s="219">
        <v>350000</v>
      </c>
      <c r="G43" s="219">
        <v>0</v>
      </c>
      <c r="H43" s="219">
        <v>350000</v>
      </c>
      <c r="I43" s="219">
        <v>350000</v>
      </c>
      <c r="J43" s="219">
        <v>0</v>
      </c>
      <c r="K43" s="219">
        <v>0</v>
      </c>
      <c r="L43" s="219">
        <v>350000</v>
      </c>
      <c r="M43" s="219">
        <v>0</v>
      </c>
      <c r="N43" s="219">
        <v>0</v>
      </c>
      <c r="O43" s="219">
        <v>350000</v>
      </c>
      <c r="P43" s="219">
        <f t="shared" si="0"/>
        <v>1750000</v>
      </c>
    </row>
    <row r="44" spans="2:16" x14ac:dyDescent="0.25">
      <c r="B44" s="230"/>
      <c r="C44" s="279" t="s">
        <v>297</v>
      </c>
      <c r="D44" s="224">
        <f t="shared" ref="D44:P44" si="1">SUM(D6:D43)</f>
        <v>4200000</v>
      </c>
      <c r="E44" s="224">
        <f t="shared" si="1"/>
        <v>4200000</v>
      </c>
      <c r="F44" s="224">
        <f t="shared" si="1"/>
        <v>4900000</v>
      </c>
      <c r="G44" s="224">
        <f t="shared" si="1"/>
        <v>4200000</v>
      </c>
      <c r="H44" s="224">
        <f t="shared" si="1"/>
        <v>4900000</v>
      </c>
      <c r="I44" s="224">
        <f t="shared" si="1"/>
        <v>4900000</v>
      </c>
      <c r="J44" s="224">
        <f t="shared" si="1"/>
        <v>4200000</v>
      </c>
      <c r="K44" s="224">
        <f t="shared" si="1"/>
        <v>4200000</v>
      </c>
      <c r="L44" s="224">
        <f t="shared" si="1"/>
        <v>4900000</v>
      </c>
      <c r="M44" s="224">
        <f t="shared" si="1"/>
        <v>4200000</v>
      </c>
      <c r="N44" s="224">
        <f t="shared" si="1"/>
        <v>4200000</v>
      </c>
      <c r="O44" s="224">
        <f t="shared" si="1"/>
        <v>4900000</v>
      </c>
      <c r="P44" s="224">
        <f t="shared" si="1"/>
        <v>53900000</v>
      </c>
    </row>
    <row r="45" spans="2:16" x14ac:dyDescent="0.25">
      <c r="B45" s="610"/>
      <c r="C45" s="259"/>
      <c r="D45" s="225"/>
      <c r="E45" s="225"/>
      <c r="F45" s="225"/>
      <c r="G45" s="225"/>
      <c r="H45" s="225"/>
      <c r="I45" s="225"/>
      <c r="J45" s="225"/>
      <c r="K45" s="225"/>
      <c r="L45" s="225"/>
      <c r="M45" s="225"/>
      <c r="N45" s="225"/>
      <c r="O45" s="583" t="s">
        <v>284</v>
      </c>
      <c r="P45" s="224">
        <f>P44</f>
        <v>53900000</v>
      </c>
    </row>
    <row r="46" spans="2:16" x14ac:dyDescent="0.25">
      <c r="B46" s="610"/>
      <c r="C46" s="259"/>
      <c r="D46" s="225"/>
      <c r="E46" s="225"/>
      <c r="F46" s="225"/>
      <c r="G46" s="225"/>
      <c r="H46" s="225"/>
      <c r="I46" s="225"/>
      <c r="J46" s="225"/>
      <c r="K46" s="225"/>
      <c r="L46" s="225"/>
      <c r="M46" s="225"/>
      <c r="N46" s="225"/>
      <c r="O46" s="583" t="s">
        <v>1508</v>
      </c>
      <c r="P46" s="224">
        <f>P45*0.16</f>
        <v>8624000</v>
      </c>
    </row>
    <row r="47" spans="2:16" x14ac:dyDescent="0.25">
      <c r="B47" s="610"/>
      <c r="C47" s="259"/>
      <c r="D47" s="225"/>
      <c r="E47" s="225"/>
      <c r="F47" s="225"/>
      <c r="G47" s="225"/>
      <c r="H47" s="225"/>
      <c r="I47" s="225"/>
      <c r="J47" s="225"/>
      <c r="K47" s="225"/>
      <c r="L47" s="225"/>
      <c r="M47" s="225"/>
      <c r="N47" s="225"/>
      <c r="O47" s="583" t="s">
        <v>298</v>
      </c>
      <c r="P47" s="285">
        <f>+P46+P45</f>
        <v>62524000</v>
      </c>
    </row>
    <row r="48" spans="2:16" x14ac:dyDescent="0.25">
      <c r="B48" s="610"/>
      <c r="C48" s="259"/>
      <c r="D48" s="225"/>
      <c r="E48" s="225"/>
      <c r="F48" s="225"/>
      <c r="G48" s="225"/>
      <c r="H48" s="225"/>
      <c r="I48" s="225"/>
      <c r="J48" s="225"/>
      <c r="K48" s="225"/>
      <c r="L48" s="225"/>
      <c r="M48" s="225"/>
      <c r="N48" s="225"/>
      <c r="O48" s="583" t="s">
        <v>583</v>
      </c>
      <c r="P48" s="224">
        <f>P47*0.7</f>
        <v>43766800</v>
      </c>
    </row>
    <row r="49" spans="2:16" x14ac:dyDescent="0.25">
      <c r="B49" s="680"/>
      <c r="C49" s="11"/>
      <c r="D49" s="11"/>
      <c r="E49" s="11"/>
      <c r="F49" s="11"/>
      <c r="G49" s="11"/>
      <c r="H49" s="11"/>
      <c r="I49" s="11"/>
      <c r="J49" s="11"/>
      <c r="K49" s="11"/>
      <c r="L49" s="11"/>
      <c r="M49" s="11"/>
      <c r="N49" s="11"/>
      <c r="O49" s="11"/>
      <c r="P49" s="11"/>
    </row>
  </sheetData>
  <mergeCells count="16">
    <mergeCell ref="P3:P5"/>
    <mergeCell ref="M3:M5"/>
    <mergeCell ref="N3:N5"/>
    <mergeCell ref="O3:O5"/>
    <mergeCell ref="B2:P2"/>
    <mergeCell ref="D3:D5"/>
    <mergeCell ref="E3:E5"/>
    <mergeCell ref="F3:F5"/>
    <mergeCell ref="G3:G5"/>
    <mergeCell ref="H3:H5"/>
    <mergeCell ref="I3:I5"/>
    <mergeCell ref="J3:J5"/>
    <mergeCell ref="K3:K5"/>
    <mergeCell ref="L3:L5"/>
    <mergeCell ref="B3:B5"/>
    <mergeCell ref="C3:C5"/>
  </mergeCells>
  <pageMargins left="1.53" right="0.46" top="0.42" bottom="0.75" header="0.3" footer="0.3"/>
  <pageSetup paperSize="5" scale="75" orientation="landscape" r:id="rId1"/>
  <headerFooter>
    <oddFooter xml:space="preserve">&amp;C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rgb="FF00B0F0"/>
  </sheetPr>
  <dimension ref="B2:P32"/>
  <sheetViews>
    <sheetView view="pageLayout" workbookViewId="0">
      <selection activeCell="I39" sqref="I39"/>
    </sheetView>
  </sheetViews>
  <sheetFormatPr baseColWidth="10" defaultRowHeight="12" x14ac:dyDescent="0.2"/>
  <cols>
    <col min="1" max="1" width="10.85546875" style="158" customWidth="1"/>
    <col min="2" max="2" width="5.5703125" style="158" customWidth="1"/>
    <col min="3" max="3" width="29" style="158" customWidth="1"/>
    <col min="4" max="15" width="11.5703125" style="158" bestFit="1" customWidth="1"/>
    <col min="16" max="16" width="12.5703125" style="158" bestFit="1" customWidth="1"/>
    <col min="17" max="16384" width="11.42578125" style="158"/>
  </cols>
  <sheetData>
    <row r="2" spans="2:16" x14ac:dyDescent="0.2">
      <c r="B2" s="690"/>
      <c r="C2" s="691"/>
      <c r="D2" s="691"/>
      <c r="E2" s="691"/>
      <c r="F2" s="691"/>
      <c r="G2" s="691"/>
      <c r="H2" s="691"/>
      <c r="I2" s="691"/>
      <c r="J2" s="691"/>
      <c r="K2" s="691"/>
      <c r="L2" s="691"/>
      <c r="M2" s="691"/>
      <c r="N2" s="691"/>
      <c r="O2" s="691"/>
      <c r="P2" s="691"/>
    </row>
    <row r="3" spans="2:16" x14ac:dyDescent="0.2">
      <c r="B3" s="944" t="s">
        <v>1421</v>
      </c>
      <c r="C3" s="944"/>
      <c r="D3" s="944"/>
      <c r="E3" s="944"/>
      <c r="F3" s="944"/>
      <c r="G3" s="944"/>
      <c r="H3" s="944"/>
      <c r="I3" s="944"/>
      <c r="J3" s="944"/>
      <c r="K3" s="944"/>
      <c r="L3" s="944"/>
      <c r="M3" s="944"/>
      <c r="N3" s="944"/>
      <c r="O3" s="944"/>
      <c r="P3" s="944"/>
    </row>
    <row r="4" spans="2:16" ht="18" customHeight="1" x14ac:dyDescent="0.2">
      <c r="B4" s="1044" t="s">
        <v>346</v>
      </c>
      <c r="C4" s="967" t="s">
        <v>451</v>
      </c>
      <c r="D4" s="942" t="s">
        <v>1894</v>
      </c>
      <c r="E4" s="942" t="s">
        <v>1895</v>
      </c>
      <c r="F4" s="942" t="s">
        <v>1896</v>
      </c>
      <c r="G4" s="942" t="s">
        <v>1897</v>
      </c>
      <c r="H4" s="942" t="s">
        <v>1898</v>
      </c>
      <c r="I4" s="942" t="s">
        <v>1899</v>
      </c>
      <c r="J4" s="1044" t="s">
        <v>644</v>
      </c>
      <c r="K4" s="942" t="s">
        <v>1900</v>
      </c>
      <c r="L4" s="1044" t="s">
        <v>641</v>
      </c>
      <c r="M4" s="967" t="s">
        <v>642</v>
      </c>
      <c r="N4" s="942" t="s">
        <v>1901</v>
      </c>
      <c r="O4" s="942" t="s">
        <v>643</v>
      </c>
      <c r="P4" s="1044" t="s">
        <v>180</v>
      </c>
    </row>
    <row r="5" spans="2:16" x14ac:dyDescent="0.2">
      <c r="B5" s="1045"/>
      <c r="C5" s="967"/>
      <c r="D5" s="943"/>
      <c r="E5" s="943"/>
      <c r="F5" s="943"/>
      <c r="G5" s="943"/>
      <c r="H5" s="943"/>
      <c r="I5" s="943"/>
      <c r="J5" s="1045"/>
      <c r="K5" s="943"/>
      <c r="L5" s="1045"/>
      <c r="M5" s="967"/>
      <c r="N5" s="943"/>
      <c r="O5" s="943"/>
      <c r="P5" s="1045"/>
    </row>
    <row r="6" spans="2:16" ht="19.7" customHeight="1" x14ac:dyDescent="0.2">
      <c r="B6" s="230">
        <v>1</v>
      </c>
      <c r="C6" s="692" t="s">
        <v>645</v>
      </c>
      <c r="D6" s="219">
        <v>125649.3</v>
      </c>
      <c r="E6" s="219">
        <v>158584.65</v>
      </c>
      <c r="F6" s="219">
        <v>319459.35000000003</v>
      </c>
      <c r="G6" s="219">
        <v>411144.3</v>
      </c>
      <c r="H6" s="219">
        <v>2221003.0500000003</v>
      </c>
      <c r="I6" s="219">
        <v>1198191.75</v>
      </c>
      <c r="J6" s="219">
        <v>1908884.25</v>
      </c>
      <c r="K6" s="219">
        <v>1320280.5</v>
      </c>
      <c r="L6" s="219">
        <v>704818.8</v>
      </c>
      <c r="M6" s="219">
        <v>881023.5</v>
      </c>
      <c r="N6" s="219">
        <v>2202558.75</v>
      </c>
      <c r="O6" s="219">
        <v>2055721.5</v>
      </c>
      <c r="P6" s="219">
        <f>SUM(D6:O6)</f>
        <v>13507319.699999999</v>
      </c>
    </row>
    <row r="7" spans="2:16" ht="19.7" customHeight="1" x14ac:dyDescent="0.2">
      <c r="B7" s="230">
        <v>2</v>
      </c>
      <c r="C7" s="692" t="s">
        <v>461</v>
      </c>
      <c r="D7" s="219">
        <v>125649.3</v>
      </c>
      <c r="E7" s="219">
        <v>158584.65</v>
      </c>
      <c r="F7" s="219">
        <v>319459.35000000003</v>
      </c>
      <c r="G7" s="219">
        <v>411144.3</v>
      </c>
      <c r="H7" s="219">
        <v>2221003.0500000003</v>
      </c>
      <c r="I7" s="219">
        <v>1198191.75</v>
      </c>
      <c r="J7" s="219">
        <v>1908884.25</v>
      </c>
      <c r="K7" s="219">
        <v>1320280.5</v>
      </c>
      <c r="L7" s="219">
        <v>704818.8</v>
      </c>
      <c r="M7" s="219">
        <v>881023.5</v>
      </c>
      <c r="N7" s="219">
        <v>2202558.75</v>
      </c>
      <c r="O7" s="219">
        <v>2055721.5</v>
      </c>
      <c r="P7" s="219">
        <f t="shared" ref="P7:P29" si="0">SUM(D7:O7)</f>
        <v>13507319.699999999</v>
      </c>
    </row>
    <row r="8" spans="2:16" ht="19.7" customHeight="1" x14ac:dyDescent="0.2">
      <c r="B8" s="230">
        <v>3</v>
      </c>
      <c r="C8" s="692" t="s">
        <v>646</v>
      </c>
      <c r="D8" s="219">
        <v>125649.3</v>
      </c>
      <c r="E8" s="219">
        <v>158584.65</v>
      </c>
      <c r="F8" s="219">
        <v>319459.35000000003</v>
      </c>
      <c r="G8" s="219">
        <v>411144.3</v>
      </c>
      <c r="H8" s="219">
        <v>2221003.0500000003</v>
      </c>
      <c r="I8" s="219">
        <v>1198191.75</v>
      </c>
      <c r="J8" s="219">
        <v>1908884.25</v>
      </c>
      <c r="K8" s="219">
        <v>1320280.5</v>
      </c>
      <c r="L8" s="219">
        <v>704818.8</v>
      </c>
      <c r="M8" s="219">
        <v>881023.5</v>
      </c>
      <c r="N8" s="219">
        <v>2202558.75</v>
      </c>
      <c r="O8" s="219">
        <v>2055721.5</v>
      </c>
      <c r="P8" s="219">
        <f t="shared" si="0"/>
        <v>13507319.699999999</v>
      </c>
    </row>
    <row r="9" spans="2:16" ht="19.7" customHeight="1" x14ac:dyDescent="0.2">
      <c r="B9" s="230">
        <v>4</v>
      </c>
      <c r="C9" s="692" t="s">
        <v>647</v>
      </c>
      <c r="D9" s="219">
        <v>125649.3</v>
      </c>
      <c r="E9" s="219">
        <v>158584.65</v>
      </c>
      <c r="F9" s="219">
        <v>319459.35000000003</v>
      </c>
      <c r="G9" s="219">
        <v>411144.3</v>
      </c>
      <c r="H9" s="219">
        <v>2221003.0500000003</v>
      </c>
      <c r="I9" s="219">
        <v>1198191.75</v>
      </c>
      <c r="J9" s="219">
        <v>1908884.25</v>
      </c>
      <c r="K9" s="219">
        <v>1320280.5</v>
      </c>
      <c r="L9" s="219">
        <v>704818.8</v>
      </c>
      <c r="M9" s="219">
        <v>881023.5</v>
      </c>
      <c r="N9" s="219">
        <v>2202558.75</v>
      </c>
      <c r="O9" s="219">
        <v>2055721.5</v>
      </c>
      <c r="P9" s="219">
        <f t="shared" si="0"/>
        <v>13507319.699999999</v>
      </c>
    </row>
    <row r="10" spans="2:16" ht="19.7" customHeight="1" x14ac:dyDescent="0.2">
      <c r="B10" s="230">
        <v>5</v>
      </c>
      <c r="C10" s="692" t="s">
        <v>648</v>
      </c>
      <c r="D10" s="219">
        <v>125649.3</v>
      </c>
      <c r="E10" s="219">
        <v>158584.65</v>
      </c>
      <c r="F10" s="219">
        <v>319459.35000000003</v>
      </c>
      <c r="G10" s="219">
        <v>411144.3</v>
      </c>
      <c r="H10" s="219">
        <v>2221003.0500000003</v>
      </c>
      <c r="I10" s="219">
        <v>1198191.75</v>
      </c>
      <c r="J10" s="219">
        <v>1908884.25</v>
      </c>
      <c r="K10" s="219">
        <v>1320280.5</v>
      </c>
      <c r="L10" s="219">
        <v>704818.8</v>
      </c>
      <c r="M10" s="219">
        <v>881023.5</v>
      </c>
      <c r="N10" s="219">
        <v>2202558.75</v>
      </c>
      <c r="O10" s="219">
        <v>2055721.5</v>
      </c>
      <c r="P10" s="219">
        <f t="shared" si="0"/>
        <v>13507319.699999999</v>
      </c>
    </row>
    <row r="11" spans="2:16" ht="19.7" customHeight="1" x14ac:dyDescent="0.2">
      <c r="B11" s="230">
        <v>6</v>
      </c>
      <c r="C11" s="692" t="s">
        <v>649</v>
      </c>
      <c r="D11" s="219">
        <v>125649.3</v>
      </c>
      <c r="E11" s="219">
        <v>158584.65</v>
      </c>
      <c r="F11" s="219">
        <v>319459.35000000003</v>
      </c>
      <c r="G11" s="219">
        <v>411144.3</v>
      </c>
      <c r="H11" s="219">
        <v>2221003.0500000003</v>
      </c>
      <c r="I11" s="219">
        <v>1198191.75</v>
      </c>
      <c r="J11" s="219">
        <v>1908884.25</v>
      </c>
      <c r="K11" s="219">
        <v>1320280.5</v>
      </c>
      <c r="L11" s="219">
        <v>704818.8</v>
      </c>
      <c r="M11" s="219">
        <v>881023.5</v>
      </c>
      <c r="N11" s="219">
        <v>2202558.75</v>
      </c>
      <c r="O11" s="219">
        <v>2055721.5</v>
      </c>
      <c r="P11" s="219">
        <f t="shared" si="0"/>
        <v>13507319.699999999</v>
      </c>
    </row>
    <row r="12" spans="2:16" ht="19.7" customHeight="1" x14ac:dyDescent="0.2">
      <c r="B12" s="230">
        <v>7</v>
      </c>
      <c r="C12" s="692" t="s">
        <v>650</v>
      </c>
      <c r="D12" s="219">
        <v>125649.3</v>
      </c>
      <c r="E12" s="219">
        <v>158584.65</v>
      </c>
      <c r="F12" s="219">
        <v>319459.35000000003</v>
      </c>
      <c r="G12" s="219">
        <v>411144.3</v>
      </c>
      <c r="H12" s="219">
        <v>2221003.0500000003</v>
      </c>
      <c r="I12" s="219">
        <v>1198191.75</v>
      </c>
      <c r="J12" s="219">
        <v>1908884.25</v>
      </c>
      <c r="K12" s="219">
        <v>1320280.5</v>
      </c>
      <c r="L12" s="219">
        <v>704818.8</v>
      </c>
      <c r="M12" s="219">
        <v>881023.5</v>
      </c>
      <c r="N12" s="219">
        <v>2202558.75</v>
      </c>
      <c r="O12" s="219">
        <v>2055721.5</v>
      </c>
      <c r="P12" s="219">
        <f t="shared" si="0"/>
        <v>13507319.699999999</v>
      </c>
    </row>
    <row r="13" spans="2:16" ht="19.7" customHeight="1" x14ac:dyDescent="0.2">
      <c r="B13" s="230">
        <v>8</v>
      </c>
      <c r="C13" s="692" t="s">
        <v>651</v>
      </c>
      <c r="D13" s="219">
        <v>125649.3</v>
      </c>
      <c r="E13" s="219">
        <v>158584.65</v>
      </c>
      <c r="F13" s="219">
        <v>319459.35000000003</v>
      </c>
      <c r="G13" s="219">
        <v>411144.3</v>
      </c>
      <c r="H13" s="219">
        <v>2221003.0500000003</v>
      </c>
      <c r="I13" s="219">
        <v>1198191.75</v>
      </c>
      <c r="J13" s="219">
        <v>1908884.25</v>
      </c>
      <c r="K13" s="219">
        <v>1320280.5</v>
      </c>
      <c r="L13" s="219">
        <v>704818.8</v>
      </c>
      <c r="M13" s="219">
        <v>881023.5</v>
      </c>
      <c r="N13" s="219">
        <v>2202558.75</v>
      </c>
      <c r="O13" s="219">
        <v>2055721.5</v>
      </c>
      <c r="P13" s="219">
        <f t="shared" si="0"/>
        <v>13507319.699999999</v>
      </c>
    </row>
    <row r="14" spans="2:16" ht="19.7" customHeight="1" x14ac:dyDescent="0.2">
      <c r="B14" s="230">
        <v>9</v>
      </c>
      <c r="C14" s="692" t="s">
        <v>652</v>
      </c>
      <c r="D14" s="219">
        <v>125649.3</v>
      </c>
      <c r="E14" s="219">
        <v>158584.65</v>
      </c>
      <c r="F14" s="219">
        <v>319459.35000000003</v>
      </c>
      <c r="G14" s="219">
        <v>411144.3</v>
      </c>
      <c r="H14" s="219">
        <v>2221003.0500000003</v>
      </c>
      <c r="I14" s="219">
        <v>1198191.75</v>
      </c>
      <c r="J14" s="219">
        <v>1908884.25</v>
      </c>
      <c r="K14" s="219">
        <v>1320280.5</v>
      </c>
      <c r="L14" s="219">
        <v>704818.8</v>
      </c>
      <c r="M14" s="219">
        <v>881023.5</v>
      </c>
      <c r="N14" s="219">
        <v>2202558.75</v>
      </c>
      <c r="O14" s="219">
        <v>2055721.5</v>
      </c>
      <c r="P14" s="219">
        <f t="shared" si="0"/>
        <v>13507319.699999999</v>
      </c>
    </row>
    <row r="15" spans="2:16" ht="19.7" customHeight="1" x14ac:dyDescent="0.2">
      <c r="B15" s="230">
        <v>10</v>
      </c>
      <c r="C15" s="692" t="s">
        <v>653</v>
      </c>
      <c r="D15" s="219">
        <v>125649.3</v>
      </c>
      <c r="E15" s="219">
        <v>158584.65</v>
      </c>
      <c r="F15" s="219">
        <v>319459.35000000003</v>
      </c>
      <c r="G15" s="219">
        <v>411144.3</v>
      </c>
      <c r="H15" s="219">
        <v>2221003.0500000003</v>
      </c>
      <c r="I15" s="219">
        <v>1198191.75</v>
      </c>
      <c r="J15" s="219">
        <v>1908884.25</v>
      </c>
      <c r="K15" s="219">
        <v>1320280.5</v>
      </c>
      <c r="L15" s="219">
        <v>704818.8</v>
      </c>
      <c r="M15" s="219">
        <v>881023.5</v>
      </c>
      <c r="N15" s="219">
        <v>2202558.75</v>
      </c>
      <c r="O15" s="219">
        <v>2055721.5</v>
      </c>
      <c r="P15" s="219">
        <f t="shared" si="0"/>
        <v>13507319.699999999</v>
      </c>
    </row>
    <row r="16" spans="2:16" ht="19.7" customHeight="1" x14ac:dyDescent="0.2">
      <c r="B16" s="230">
        <v>11</v>
      </c>
      <c r="C16" s="692" t="s">
        <v>654</v>
      </c>
      <c r="D16" s="219">
        <v>125649.3</v>
      </c>
      <c r="E16" s="219">
        <v>158584.65</v>
      </c>
      <c r="F16" s="219">
        <v>319459.35000000003</v>
      </c>
      <c r="G16" s="219">
        <v>411144.3</v>
      </c>
      <c r="H16" s="219">
        <v>2221003.0500000003</v>
      </c>
      <c r="I16" s="219">
        <v>1198191.75</v>
      </c>
      <c r="J16" s="219">
        <v>1908884.25</v>
      </c>
      <c r="K16" s="219">
        <v>1320280.5</v>
      </c>
      <c r="L16" s="219">
        <v>704818.8</v>
      </c>
      <c r="M16" s="219">
        <v>881023.5</v>
      </c>
      <c r="N16" s="219">
        <v>2202558.75</v>
      </c>
      <c r="O16" s="219">
        <v>2055721.5</v>
      </c>
      <c r="P16" s="219">
        <f t="shared" si="0"/>
        <v>13507319.699999999</v>
      </c>
    </row>
    <row r="17" spans="2:16" ht="19.7" customHeight="1" x14ac:dyDescent="0.2">
      <c r="B17" s="230">
        <v>12</v>
      </c>
      <c r="C17" s="692" t="s">
        <v>655</v>
      </c>
      <c r="D17" s="219">
        <v>125649.3</v>
      </c>
      <c r="E17" s="219">
        <v>158584.65</v>
      </c>
      <c r="F17" s="219">
        <v>319459.35000000003</v>
      </c>
      <c r="G17" s="219">
        <v>411144.3</v>
      </c>
      <c r="H17" s="219">
        <v>2221003.0500000003</v>
      </c>
      <c r="I17" s="219">
        <v>1198191.75</v>
      </c>
      <c r="J17" s="219">
        <v>1908884.25</v>
      </c>
      <c r="K17" s="219">
        <v>1320280.5</v>
      </c>
      <c r="L17" s="219">
        <v>704818.8</v>
      </c>
      <c r="M17" s="219">
        <v>881023.5</v>
      </c>
      <c r="N17" s="219">
        <v>2202558.75</v>
      </c>
      <c r="O17" s="219">
        <v>2055721.5</v>
      </c>
      <c r="P17" s="219">
        <f t="shared" si="0"/>
        <v>13507319.699999999</v>
      </c>
    </row>
    <row r="18" spans="2:16" ht="19.7" customHeight="1" x14ac:dyDescent="0.2">
      <c r="B18" s="230">
        <v>13</v>
      </c>
      <c r="C18" s="692" t="s">
        <v>656</v>
      </c>
      <c r="D18" s="219">
        <v>125649.3</v>
      </c>
      <c r="E18" s="219">
        <v>158584.65</v>
      </c>
      <c r="F18" s="219">
        <v>319459.35000000003</v>
      </c>
      <c r="G18" s="219">
        <v>411144.3</v>
      </c>
      <c r="H18" s="219">
        <v>2221003.0500000003</v>
      </c>
      <c r="I18" s="219">
        <v>1198191.75</v>
      </c>
      <c r="J18" s="219">
        <v>1908884.25</v>
      </c>
      <c r="K18" s="219">
        <v>1320280.5</v>
      </c>
      <c r="L18" s="219">
        <v>704818.8</v>
      </c>
      <c r="M18" s="219">
        <v>881023.5</v>
      </c>
      <c r="N18" s="219">
        <v>2202558.75</v>
      </c>
      <c r="O18" s="219">
        <v>2055721.5</v>
      </c>
      <c r="P18" s="219">
        <f t="shared" si="0"/>
        <v>13507319.699999999</v>
      </c>
    </row>
    <row r="19" spans="2:16" ht="19.7" customHeight="1" x14ac:dyDescent="0.2">
      <c r="B19" s="230">
        <v>14</v>
      </c>
      <c r="C19" s="693" t="s">
        <v>657</v>
      </c>
      <c r="D19" s="219">
        <v>125649.3</v>
      </c>
      <c r="E19" s="219">
        <v>158584.65</v>
      </c>
      <c r="F19" s="219">
        <v>319459.35000000003</v>
      </c>
      <c r="G19" s="219">
        <v>411144.3</v>
      </c>
      <c r="H19" s="219">
        <v>2221003.0500000003</v>
      </c>
      <c r="I19" s="219">
        <v>1198191.75</v>
      </c>
      <c r="J19" s="219">
        <v>1908884.25</v>
      </c>
      <c r="K19" s="219">
        <v>1320280.5</v>
      </c>
      <c r="L19" s="219">
        <v>704818.8</v>
      </c>
      <c r="M19" s="219">
        <v>881023.5</v>
      </c>
      <c r="N19" s="219">
        <v>2202558.75</v>
      </c>
      <c r="O19" s="219">
        <v>2055721.5</v>
      </c>
      <c r="P19" s="219">
        <f t="shared" si="0"/>
        <v>13507319.699999999</v>
      </c>
    </row>
    <row r="20" spans="2:16" ht="19.7" customHeight="1" x14ac:dyDescent="0.2">
      <c r="B20" s="230">
        <v>15</v>
      </c>
      <c r="C20" s="692" t="s">
        <v>658</v>
      </c>
      <c r="D20" s="219">
        <v>125649.3</v>
      </c>
      <c r="E20" s="219">
        <v>158584.65</v>
      </c>
      <c r="F20" s="219">
        <v>319459.35000000003</v>
      </c>
      <c r="G20" s="219">
        <v>411144.3</v>
      </c>
      <c r="H20" s="219">
        <v>2221003.0500000003</v>
      </c>
      <c r="I20" s="219">
        <v>1198191.75</v>
      </c>
      <c r="J20" s="219">
        <v>1908884.25</v>
      </c>
      <c r="K20" s="219">
        <v>1320280.5</v>
      </c>
      <c r="L20" s="219">
        <v>704818.8</v>
      </c>
      <c r="M20" s="219">
        <v>881023.5</v>
      </c>
      <c r="N20" s="219">
        <v>2202558.75</v>
      </c>
      <c r="O20" s="219">
        <v>2055721.5</v>
      </c>
      <c r="P20" s="219">
        <f t="shared" si="0"/>
        <v>13507319.699999999</v>
      </c>
    </row>
    <row r="21" spans="2:16" ht="19.7" customHeight="1" x14ac:dyDescent="0.2">
      <c r="B21" s="230">
        <v>16</v>
      </c>
      <c r="C21" s="692" t="s">
        <v>659</v>
      </c>
      <c r="D21" s="219">
        <v>125649.3</v>
      </c>
      <c r="E21" s="219">
        <v>158584.65</v>
      </c>
      <c r="F21" s="219">
        <v>319459.35000000003</v>
      </c>
      <c r="G21" s="219">
        <v>411144.3</v>
      </c>
      <c r="H21" s="219">
        <v>2221003.0500000003</v>
      </c>
      <c r="I21" s="219">
        <v>1198191.75</v>
      </c>
      <c r="J21" s="219">
        <v>1908884.25</v>
      </c>
      <c r="K21" s="219">
        <v>1320280.5</v>
      </c>
      <c r="L21" s="219">
        <v>704818.8</v>
      </c>
      <c r="M21" s="219">
        <v>881023.5</v>
      </c>
      <c r="N21" s="219">
        <v>2202558.75</v>
      </c>
      <c r="O21" s="219">
        <v>2055721.5</v>
      </c>
      <c r="P21" s="219">
        <f t="shared" si="0"/>
        <v>13507319.699999999</v>
      </c>
    </row>
    <row r="22" spans="2:16" ht="19.7" customHeight="1" x14ac:dyDescent="0.2">
      <c r="B22" s="230">
        <v>17</v>
      </c>
      <c r="C22" s="692" t="s">
        <v>660</v>
      </c>
      <c r="D22" s="219">
        <v>125649.3</v>
      </c>
      <c r="E22" s="219">
        <v>158584.65</v>
      </c>
      <c r="F22" s="219">
        <v>319459.35000000003</v>
      </c>
      <c r="G22" s="219">
        <v>411144.3</v>
      </c>
      <c r="H22" s="219">
        <v>2221003.0500000003</v>
      </c>
      <c r="I22" s="219">
        <v>1198191.75</v>
      </c>
      <c r="J22" s="219">
        <v>1908884.25</v>
      </c>
      <c r="K22" s="219">
        <v>1320280.5</v>
      </c>
      <c r="L22" s="219">
        <v>704818.8</v>
      </c>
      <c r="M22" s="219">
        <v>881023.5</v>
      </c>
      <c r="N22" s="219">
        <v>2202558.75</v>
      </c>
      <c r="O22" s="219">
        <v>2055721.5</v>
      </c>
      <c r="P22" s="219">
        <f t="shared" si="0"/>
        <v>13507319.699999999</v>
      </c>
    </row>
    <row r="23" spans="2:16" ht="19.7" customHeight="1" x14ac:dyDescent="0.2">
      <c r="B23" s="230">
        <v>18</v>
      </c>
      <c r="C23" s="692" t="s">
        <v>661</v>
      </c>
      <c r="D23" s="219">
        <v>125649.3</v>
      </c>
      <c r="E23" s="219">
        <v>158584.65</v>
      </c>
      <c r="F23" s="219">
        <v>319459.35000000003</v>
      </c>
      <c r="G23" s="219">
        <v>411144.3</v>
      </c>
      <c r="H23" s="219">
        <v>2221003.0500000003</v>
      </c>
      <c r="I23" s="219">
        <v>1198191.75</v>
      </c>
      <c r="J23" s="219">
        <v>1908884.25</v>
      </c>
      <c r="K23" s="219">
        <v>1320280.5</v>
      </c>
      <c r="L23" s="219">
        <v>704818.8</v>
      </c>
      <c r="M23" s="219">
        <v>881023.5</v>
      </c>
      <c r="N23" s="219">
        <v>2202558.75</v>
      </c>
      <c r="O23" s="219">
        <v>2055721.5</v>
      </c>
      <c r="P23" s="219">
        <f t="shared" si="0"/>
        <v>13507319.699999999</v>
      </c>
    </row>
    <row r="24" spans="2:16" ht="19.7" customHeight="1" x14ac:dyDescent="0.2">
      <c r="B24" s="230">
        <v>19</v>
      </c>
      <c r="C24" s="692" t="s">
        <v>662</v>
      </c>
      <c r="D24" s="219">
        <v>0</v>
      </c>
      <c r="E24" s="219">
        <v>0</v>
      </c>
      <c r="F24" s="219">
        <v>319459.35000000003</v>
      </c>
      <c r="G24" s="219">
        <v>411144.3</v>
      </c>
      <c r="H24" s="219">
        <v>686155.05</v>
      </c>
      <c r="I24" s="219">
        <v>1198191.75</v>
      </c>
      <c r="J24" s="219">
        <v>398611.5</v>
      </c>
      <c r="K24" s="219">
        <v>1320280.5</v>
      </c>
      <c r="L24" s="219">
        <v>704818.8</v>
      </c>
      <c r="M24" s="219">
        <v>881023.5</v>
      </c>
      <c r="N24" s="219">
        <v>2202558.75</v>
      </c>
      <c r="O24" s="219">
        <v>797224.05</v>
      </c>
      <c r="P24" s="219">
        <f t="shared" si="0"/>
        <v>8919467.5500000007</v>
      </c>
    </row>
    <row r="25" spans="2:16" ht="19.7" customHeight="1" x14ac:dyDescent="0.2">
      <c r="B25" s="230">
        <v>20</v>
      </c>
      <c r="C25" s="692" t="s">
        <v>663</v>
      </c>
      <c r="D25" s="219">
        <v>125649.3</v>
      </c>
      <c r="E25" s="219">
        <v>158584.65</v>
      </c>
      <c r="F25" s="219">
        <v>319459.35000000003</v>
      </c>
      <c r="G25" s="219">
        <v>411144.3</v>
      </c>
      <c r="H25" s="219">
        <v>2221003.0500000003</v>
      </c>
      <c r="I25" s="219">
        <v>1198191.75</v>
      </c>
      <c r="J25" s="219">
        <v>1908884.25</v>
      </c>
      <c r="K25" s="219">
        <v>1320280.5</v>
      </c>
      <c r="L25" s="219">
        <v>704818.8</v>
      </c>
      <c r="M25" s="219">
        <v>881023.5</v>
      </c>
      <c r="N25" s="219">
        <v>2202558.75</v>
      </c>
      <c r="O25" s="219">
        <v>2055721.5</v>
      </c>
      <c r="P25" s="219">
        <f t="shared" si="0"/>
        <v>13507319.699999999</v>
      </c>
    </row>
    <row r="26" spans="2:16" ht="19.7" customHeight="1" x14ac:dyDescent="0.2">
      <c r="B26" s="230">
        <v>21</v>
      </c>
      <c r="C26" s="692" t="s">
        <v>663</v>
      </c>
      <c r="D26" s="219">
        <v>125649.3</v>
      </c>
      <c r="E26" s="219">
        <v>158584.65</v>
      </c>
      <c r="F26" s="219">
        <v>319459.35000000003</v>
      </c>
      <c r="G26" s="219">
        <v>411144.3</v>
      </c>
      <c r="H26" s="219">
        <v>2221003.0500000003</v>
      </c>
      <c r="I26" s="219">
        <v>1198191.75</v>
      </c>
      <c r="J26" s="219">
        <v>1908884.25</v>
      </c>
      <c r="K26" s="219">
        <v>1320280.5</v>
      </c>
      <c r="L26" s="219">
        <v>704818.8</v>
      </c>
      <c r="M26" s="219">
        <v>881023.5</v>
      </c>
      <c r="N26" s="219">
        <v>2202558.75</v>
      </c>
      <c r="O26" s="219">
        <v>2055721.5</v>
      </c>
      <c r="P26" s="219">
        <f t="shared" si="0"/>
        <v>13507319.699999999</v>
      </c>
    </row>
    <row r="27" spans="2:16" ht="19.7" customHeight="1" x14ac:dyDescent="0.2">
      <c r="B27" s="230">
        <v>22</v>
      </c>
      <c r="C27" s="692" t="s">
        <v>664</v>
      </c>
      <c r="D27" s="219">
        <v>125649.3</v>
      </c>
      <c r="E27" s="219">
        <v>158584.65</v>
      </c>
      <c r="F27" s="219">
        <v>319459.35000000003</v>
      </c>
      <c r="G27" s="219">
        <v>411144.3</v>
      </c>
      <c r="H27" s="219">
        <v>2221003.0500000003</v>
      </c>
      <c r="I27" s="219">
        <v>1198191.75</v>
      </c>
      <c r="J27" s="219">
        <v>1908884.25</v>
      </c>
      <c r="K27" s="219">
        <v>1320280.5</v>
      </c>
      <c r="L27" s="219">
        <v>704818.8</v>
      </c>
      <c r="M27" s="219">
        <v>881023.5</v>
      </c>
      <c r="N27" s="219">
        <v>2202558.75</v>
      </c>
      <c r="O27" s="219">
        <v>2055721.5</v>
      </c>
      <c r="P27" s="219">
        <f t="shared" si="0"/>
        <v>13507319.699999999</v>
      </c>
    </row>
    <row r="28" spans="2:16" ht="19.7" customHeight="1" x14ac:dyDescent="0.2">
      <c r="B28" s="230">
        <v>23</v>
      </c>
      <c r="C28" s="692" t="s">
        <v>455</v>
      </c>
      <c r="D28" s="219">
        <v>125649.3</v>
      </c>
      <c r="E28" s="219">
        <v>158584.65</v>
      </c>
      <c r="F28" s="219">
        <v>319459.35000000003</v>
      </c>
      <c r="G28" s="219">
        <v>411144.3</v>
      </c>
      <c r="H28" s="219">
        <v>2221003.0500000003</v>
      </c>
      <c r="I28" s="219">
        <v>1198191.75</v>
      </c>
      <c r="J28" s="219">
        <v>1908884.25</v>
      </c>
      <c r="K28" s="219">
        <v>1320280.5</v>
      </c>
      <c r="L28" s="219">
        <v>704818.8</v>
      </c>
      <c r="M28" s="219">
        <v>881023.5</v>
      </c>
      <c r="N28" s="219">
        <v>2202558.75</v>
      </c>
      <c r="O28" s="219">
        <v>2055721.5</v>
      </c>
      <c r="P28" s="219">
        <f t="shared" si="0"/>
        <v>13507319.699999999</v>
      </c>
    </row>
    <row r="29" spans="2:16" ht="19.7" customHeight="1" x14ac:dyDescent="0.2">
      <c r="B29" s="230">
        <v>24</v>
      </c>
      <c r="C29" s="692" t="s">
        <v>665</v>
      </c>
      <c r="D29" s="219">
        <v>0</v>
      </c>
      <c r="E29" s="219">
        <v>0</v>
      </c>
      <c r="F29" s="219">
        <v>319459.35000000003</v>
      </c>
      <c r="G29" s="219">
        <v>411144.3</v>
      </c>
      <c r="H29" s="219">
        <v>686155.05</v>
      </c>
      <c r="I29" s="219">
        <v>1198191.75</v>
      </c>
      <c r="J29" s="219">
        <v>398611.5</v>
      </c>
      <c r="K29" s="219">
        <v>1320280.5</v>
      </c>
      <c r="L29" s="219">
        <v>704818.8</v>
      </c>
      <c r="M29" s="219">
        <v>881023.5</v>
      </c>
      <c r="N29" s="219">
        <v>2202558.75</v>
      </c>
      <c r="O29" s="219">
        <v>797224.05</v>
      </c>
      <c r="P29" s="219">
        <f t="shared" si="0"/>
        <v>8919467.5500000007</v>
      </c>
    </row>
    <row r="30" spans="2:16" ht="19.7" customHeight="1" x14ac:dyDescent="0.2">
      <c r="B30" s="945" t="s">
        <v>297</v>
      </c>
      <c r="C30" s="947"/>
      <c r="D30" s="694">
        <f>SUM(D6:D29)</f>
        <v>2764284.5999999996</v>
      </c>
      <c r="E30" s="694">
        <f t="shared" ref="E30:P30" si="1">SUM(E6:E29)</f>
        <v>3488862.2999999989</v>
      </c>
      <c r="F30" s="694">
        <f t="shared" si="1"/>
        <v>7667024.3999999966</v>
      </c>
      <c r="G30" s="694">
        <f t="shared" si="1"/>
        <v>9867463.1999999993</v>
      </c>
      <c r="H30" s="694">
        <f t="shared" si="1"/>
        <v>50234377.199999981</v>
      </c>
      <c r="I30" s="694">
        <f t="shared" si="1"/>
        <v>28756602</v>
      </c>
      <c r="J30" s="694">
        <f t="shared" si="1"/>
        <v>42792676.5</v>
      </c>
      <c r="K30" s="694">
        <f t="shared" si="1"/>
        <v>31686732</v>
      </c>
      <c r="L30" s="694">
        <f t="shared" si="1"/>
        <v>16915651.200000007</v>
      </c>
      <c r="M30" s="694">
        <f t="shared" si="1"/>
        <v>21144564</v>
      </c>
      <c r="N30" s="694">
        <f t="shared" si="1"/>
        <v>52861410</v>
      </c>
      <c r="O30" s="694">
        <f t="shared" si="1"/>
        <v>46820321.099999994</v>
      </c>
      <c r="P30" s="694">
        <f t="shared" si="1"/>
        <v>314999968.49999988</v>
      </c>
    </row>
    <row r="31" spans="2:16" ht="19.7" customHeight="1" x14ac:dyDescent="0.2">
      <c r="B31" s="259"/>
      <c r="C31" s="259"/>
      <c r="D31" s="225"/>
      <c r="E31" s="225"/>
      <c r="F31" s="225"/>
      <c r="G31" s="225"/>
      <c r="H31" s="225"/>
      <c r="I31" s="225"/>
      <c r="J31" s="225"/>
      <c r="K31" s="225"/>
      <c r="L31" s="225"/>
      <c r="M31" s="225"/>
      <c r="N31" s="903" t="s">
        <v>161</v>
      </c>
      <c r="O31" s="903"/>
      <c r="P31" s="224">
        <f>SUM(D30:O30)</f>
        <v>314999968.5</v>
      </c>
    </row>
    <row r="32" spans="2:16" ht="19.7" customHeight="1" x14ac:dyDescent="0.2">
      <c r="B32" s="259"/>
      <c r="C32" s="259"/>
      <c r="D32" s="225"/>
      <c r="E32" s="225"/>
      <c r="F32" s="225"/>
      <c r="G32" s="225"/>
      <c r="H32" s="225"/>
      <c r="I32" s="225"/>
      <c r="J32" s="225"/>
      <c r="K32" s="225"/>
      <c r="L32" s="225"/>
      <c r="M32" s="225"/>
      <c r="N32" s="903" t="s">
        <v>583</v>
      </c>
      <c r="O32" s="903"/>
      <c r="P32" s="224">
        <f>P31*0.7</f>
        <v>220499977.94999999</v>
      </c>
    </row>
  </sheetData>
  <mergeCells count="19">
    <mergeCell ref="B3:P3"/>
    <mergeCell ref="C4:C5"/>
    <mergeCell ref="M4:M5"/>
    <mergeCell ref="B30:C30"/>
    <mergeCell ref="B4:B5"/>
    <mergeCell ref="D4:D5"/>
    <mergeCell ref="E4:E5"/>
    <mergeCell ref="F4:F5"/>
    <mergeCell ref="G4:G5"/>
    <mergeCell ref="N4:N5"/>
    <mergeCell ref="O4:O5"/>
    <mergeCell ref="P4:P5"/>
    <mergeCell ref="H4:H5"/>
    <mergeCell ref="I4:I5"/>
    <mergeCell ref="J4:J5"/>
    <mergeCell ref="K4:K5"/>
    <mergeCell ref="L4:L5"/>
    <mergeCell ref="N31:O31"/>
    <mergeCell ref="N32:O32"/>
  </mergeCells>
  <pageMargins left="0.7" right="0.7" top="0.75" bottom="0.75" header="0.3" footer="0.3"/>
  <pageSetup paperSize="5" scale="75" orientation="landscape" r:id="rId1"/>
  <headerFooter>
    <oddFooter xml:space="preserve">&amp;C
</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rgb="FF00B0F0"/>
  </sheetPr>
  <dimension ref="A1:V45"/>
  <sheetViews>
    <sheetView view="pageLayout" workbookViewId="0">
      <selection sqref="A1:A1048576"/>
    </sheetView>
  </sheetViews>
  <sheetFormatPr baseColWidth="10" defaultRowHeight="15" x14ac:dyDescent="0.25"/>
  <cols>
    <col min="1" max="3" width="11.42578125" style="113"/>
    <col min="4" max="4" width="6.140625" style="262" customWidth="1"/>
    <col min="5" max="5" width="20" customWidth="1"/>
    <col min="6" max="6" width="6.140625" bestFit="1" customWidth="1"/>
    <col min="7" max="7" width="10.140625" bestFit="1" customWidth="1"/>
    <col min="8" max="8" width="6.140625" bestFit="1" customWidth="1"/>
    <col min="9" max="9" width="9" bestFit="1" customWidth="1"/>
    <col min="10" max="10" width="5.7109375" bestFit="1" customWidth="1"/>
    <col min="11" max="11" width="10.140625" bestFit="1" customWidth="1"/>
    <col min="12" max="12" width="5.7109375" bestFit="1" customWidth="1"/>
    <col min="13" max="13" width="10.140625" bestFit="1" customWidth="1"/>
    <col min="14" max="14" width="5.7109375" bestFit="1" customWidth="1"/>
    <col min="15" max="15" width="9" bestFit="1" customWidth="1"/>
    <col min="16" max="16" width="5.7109375" bestFit="1" customWidth="1"/>
    <col min="17" max="17" width="7.5703125" bestFit="1" customWidth="1"/>
    <col min="18" max="18" width="5.7109375" bestFit="1" customWidth="1"/>
    <col min="19" max="19" width="9" bestFit="1" customWidth="1"/>
    <col min="20" max="20" width="5.7109375" bestFit="1" customWidth="1"/>
    <col min="21" max="21" width="9.7109375" customWidth="1"/>
    <col min="22" max="22" width="10.140625" bestFit="1" customWidth="1"/>
  </cols>
  <sheetData>
    <row r="1" spans="4:22" s="113" customFormat="1" x14ac:dyDescent="0.25">
      <c r="D1" s="262"/>
    </row>
    <row r="2" spans="4:22" s="113" customFormat="1" x14ac:dyDescent="0.25">
      <c r="D2" s="262"/>
    </row>
    <row r="3" spans="4:22" x14ac:dyDescent="0.25">
      <c r="D3" s="944" t="s">
        <v>1422</v>
      </c>
      <c r="E3" s="944"/>
      <c r="F3" s="944"/>
      <c r="G3" s="944"/>
      <c r="H3" s="944"/>
      <c r="I3" s="944"/>
      <c r="J3" s="944"/>
      <c r="K3" s="944"/>
      <c r="L3" s="944"/>
      <c r="M3" s="944"/>
      <c r="N3" s="944"/>
      <c r="O3" s="944"/>
      <c r="P3" s="944"/>
      <c r="Q3" s="944"/>
      <c r="R3" s="944"/>
      <c r="S3" s="944"/>
      <c r="T3" s="944"/>
      <c r="U3" s="944"/>
      <c r="V3" s="944"/>
    </row>
    <row r="4" spans="4:22" ht="28.5" customHeight="1" x14ac:dyDescent="0.25">
      <c r="D4" s="1044" t="s">
        <v>346</v>
      </c>
      <c r="E4" s="1044" t="s">
        <v>287</v>
      </c>
      <c r="F4" s="967" t="s">
        <v>667</v>
      </c>
      <c r="G4" s="967"/>
      <c r="H4" s="967" t="s">
        <v>668</v>
      </c>
      <c r="I4" s="967"/>
      <c r="J4" s="967" t="s">
        <v>669</v>
      </c>
      <c r="K4" s="967"/>
      <c r="L4" s="967" t="s">
        <v>670</v>
      </c>
      <c r="M4" s="967"/>
      <c r="N4" s="967" t="s">
        <v>671</v>
      </c>
      <c r="O4" s="967"/>
      <c r="P4" s="967" t="s">
        <v>672</v>
      </c>
      <c r="Q4" s="967"/>
      <c r="R4" s="967" t="s">
        <v>673</v>
      </c>
      <c r="S4" s="967"/>
      <c r="T4" s="967" t="s">
        <v>674</v>
      </c>
      <c r="U4" s="967"/>
      <c r="V4" s="967" t="s">
        <v>454</v>
      </c>
    </row>
    <row r="5" spans="4:22" x14ac:dyDescent="0.25">
      <c r="D5" s="1045"/>
      <c r="E5" s="1045"/>
      <c r="F5" s="587" t="s">
        <v>162</v>
      </c>
      <c r="G5" s="587" t="s">
        <v>454</v>
      </c>
      <c r="H5" s="587" t="s">
        <v>162</v>
      </c>
      <c r="I5" s="587" t="s">
        <v>454</v>
      </c>
      <c r="J5" s="587" t="s">
        <v>366</v>
      </c>
      <c r="K5" s="587" t="s">
        <v>454</v>
      </c>
      <c r="L5" s="587" t="s">
        <v>366</v>
      </c>
      <c r="M5" s="587" t="s">
        <v>454</v>
      </c>
      <c r="N5" s="587" t="s">
        <v>366</v>
      </c>
      <c r="O5" s="587" t="s">
        <v>454</v>
      </c>
      <c r="P5" s="587" t="s">
        <v>366</v>
      </c>
      <c r="Q5" s="587" t="s">
        <v>454</v>
      </c>
      <c r="R5" s="587" t="s">
        <v>366</v>
      </c>
      <c r="S5" s="587" t="s">
        <v>454</v>
      </c>
      <c r="T5" s="587" t="s">
        <v>366</v>
      </c>
      <c r="U5" s="587" t="s">
        <v>454</v>
      </c>
      <c r="V5" s="967"/>
    </row>
    <row r="6" spans="4:22" x14ac:dyDescent="0.25">
      <c r="D6" s="230">
        <v>1</v>
      </c>
      <c r="E6" s="254" t="s">
        <v>241</v>
      </c>
      <c r="F6" s="695">
        <v>4</v>
      </c>
      <c r="G6" s="219">
        <v>486245.55000000005</v>
      </c>
      <c r="H6" s="695">
        <v>4</v>
      </c>
      <c r="I6" s="219">
        <v>123360.3</v>
      </c>
      <c r="J6" s="695">
        <v>4</v>
      </c>
      <c r="K6" s="219">
        <v>643118.70000000007</v>
      </c>
      <c r="L6" s="695">
        <v>4</v>
      </c>
      <c r="M6" s="219">
        <v>442040.55000000005</v>
      </c>
      <c r="N6" s="695">
        <v>4</v>
      </c>
      <c r="O6" s="219">
        <v>198918.30000000002</v>
      </c>
      <c r="P6" s="695">
        <v>4</v>
      </c>
      <c r="Q6" s="219">
        <v>19532.100000000002</v>
      </c>
      <c r="R6" s="695">
        <v>4</v>
      </c>
      <c r="S6" s="219">
        <v>156873.15</v>
      </c>
      <c r="T6" s="695">
        <v>4</v>
      </c>
      <c r="U6" s="219">
        <v>79362.150000000009</v>
      </c>
      <c r="V6" s="219">
        <f>U6+S6+Q6+O6+M6+K6+I6+G6</f>
        <v>2149450.8000000003</v>
      </c>
    </row>
    <row r="7" spans="4:22" x14ac:dyDescent="0.25">
      <c r="D7" s="230">
        <v>2</v>
      </c>
      <c r="E7" s="254" t="s">
        <v>242</v>
      </c>
      <c r="F7" s="695">
        <v>4</v>
      </c>
      <c r="G7" s="219">
        <v>486245.55000000005</v>
      </c>
      <c r="H7" s="695">
        <v>4</v>
      </c>
      <c r="I7" s="219">
        <v>123360.3</v>
      </c>
      <c r="J7" s="695">
        <v>4</v>
      </c>
      <c r="K7" s="219">
        <v>643118.70000000007</v>
      </c>
      <c r="L7" s="695">
        <v>4</v>
      </c>
      <c r="M7" s="219">
        <v>442040.55000000005</v>
      </c>
      <c r="N7" s="695">
        <v>4</v>
      </c>
      <c r="O7" s="219">
        <v>198918.30000000002</v>
      </c>
      <c r="P7" s="695">
        <v>4</v>
      </c>
      <c r="Q7" s="219">
        <v>19532.100000000002</v>
      </c>
      <c r="R7" s="695">
        <v>4</v>
      </c>
      <c r="S7" s="219">
        <v>156873.15</v>
      </c>
      <c r="T7" s="695">
        <v>4</v>
      </c>
      <c r="U7" s="219">
        <v>79362.150000000009</v>
      </c>
      <c r="V7" s="219">
        <f t="shared" ref="V7:V42" si="0">U7+S7+Q7+O7+M7+K7+I7+G7</f>
        <v>2149450.8000000003</v>
      </c>
    </row>
    <row r="8" spans="4:22" x14ac:dyDescent="0.25">
      <c r="D8" s="230">
        <v>3</v>
      </c>
      <c r="E8" s="254" t="s">
        <v>243</v>
      </c>
      <c r="F8" s="695">
        <v>4</v>
      </c>
      <c r="G8" s="219">
        <v>486245.55000000005</v>
      </c>
      <c r="H8" s="695">
        <v>4</v>
      </c>
      <c r="I8" s="219">
        <v>123360.3</v>
      </c>
      <c r="J8" s="695">
        <v>0</v>
      </c>
      <c r="K8" s="219">
        <v>643118.70000000007</v>
      </c>
      <c r="L8" s="695">
        <v>0</v>
      </c>
      <c r="M8" s="219">
        <v>442040.55000000005</v>
      </c>
      <c r="N8" s="695">
        <v>0</v>
      </c>
      <c r="O8" s="219">
        <v>198918.30000000002</v>
      </c>
      <c r="P8" s="695">
        <v>0</v>
      </c>
      <c r="Q8" s="219">
        <v>19532.100000000002</v>
      </c>
      <c r="R8" s="695">
        <v>0</v>
      </c>
      <c r="S8" s="219">
        <v>156873.15</v>
      </c>
      <c r="T8" s="695">
        <v>0</v>
      </c>
      <c r="U8" s="219">
        <v>79362.150000000009</v>
      </c>
      <c r="V8" s="219">
        <f t="shared" si="0"/>
        <v>2149450.8000000003</v>
      </c>
    </row>
    <row r="9" spans="4:22" x14ac:dyDescent="0.25">
      <c r="D9" s="230">
        <v>4</v>
      </c>
      <c r="E9" s="254" t="s">
        <v>244</v>
      </c>
      <c r="F9" s="695">
        <v>4</v>
      </c>
      <c r="G9" s="219">
        <v>486245.55000000005</v>
      </c>
      <c r="H9" s="695">
        <v>4</v>
      </c>
      <c r="I9" s="219">
        <v>123360.3</v>
      </c>
      <c r="J9" s="695">
        <v>4</v>
      </c>
      <c r="K9" s="219">
        <v>643118.70000000007</v>
      </c>
      <c r="L9" s="695">
        <v>4</v>
      </c>
      <c r="M9" s="219">
        <v>442040.55000000005</v>
      </c>
      <c r="N9" s="695">
        <v>4</v>
      </c>
      <c r="O9" s="219">
        <v>198918.30000000002</v>
      </c>
      <c r="P9" s="695">
        <v>4</v>
      </c>
      <c r="Q9" s="219">
        <v>19532.100000000002</v>
      </c>
      <c r="R9" s="695">
        <v>4</v>
      </c>
      <c r="S9" s="219">
        <v>156873.15</v>
      </c>
      <c r="T9" s="695">
        <v>4</v>
      </c>
      <c r="U9" s="219">
        <v>79362.150000000009</v>
      </c>
      <c r="V9" s="219">
        <f t="shared" si="0"/>
        <v>2149450.8000000003</v>
      </c>
    </row>
    <row r="10" spans="4:22" x14ac:dyDescent="0.25">
      <c r="D10" s="230">
        <v>5</v>
      </c>
      <c r="E10" s="254" t="s">
        <v>245</v>
      </c>
      <c r="F10" s="695">
        <v>4</v>
      </c>
      <c r="G10" s="219">
        <v>486245.55000000005</v>
      </c>
      <c r="H10" s="695">
        <v>4</v>
      </c>
      <c r="I10" s="219">
        <v>123360.3</v>
      </c>
      <c r="J10" s="695">
        <v>4</v>
      </c>
      <c r="K10" s="219">
        <v>643118.70000000007</v>
      </c>
      <c r="L10" s="695">
        <v>4</v>
      </c>
      <c r="M10" s="219">
        <v>442040.55000000005</v>
      </c>
      <c r="N10" s="695">
        <v>4</v>
      </c>
      <c r="O10" s="219">
        <v>198918.30000000002</v>
      </c>
      <c r="P10" s="695">
        <v>4</v>
      </c>
      <c r="Q10" s="219">
        <v>19532.100000000002</v>
      </c>
      <c r="R10" s="695">
        <v>4</v>
      </c>
      <c r="S10" s="219">
        <v>156873.15</v>
      </c>
      <c r="T10" s="695">
        <v>4</v>
      </c>
      <c r="U10" s="219">
        <v>79362.150000000009</v>
      </c>
      <c r="V10" s="219">
        <f t="shared" si="0"/>
        <v>2149450.8000000003</v>
      </c>
    </row>
    <row r="11" spans="4:22" x14ac:dyDescent="0.25">
      <c r="D11" s="230">
        <v>6</v>
      </c>
      <c r="E11" s="254" t="s">
        <v>246</v>
      </c>
      <c r="F11" s="695">
        <v>4</v>
      </c>
      <c r="G11" s="219">
        <v>486245.55000000005</v>
      </c>
      <c r="H11" s="695">
        <v>4</v>
      </c>
      <c r="I11" s="219">
        <v>123360.3</v>
      </c>
      <c r="J11" s="695">
        <v>4</v>
      </c>
      <c r="K11" s="219">
        <v>643118.70000000007</v>
      </c>
      <c r="L11" s="695">
        <v>4</v>
      </c>
      <c r="M11" s="219">
        <v>442040.55000000005</v>
      </c>
      <c r="N11" s="695">
        <v>4</v>
      </c>
      <c r="O11" s="219">
        <v>198918.30000000002</v>
      </c>
      <c r="P11" s="695">
        <v>4</v>
      </c>
      <c r="Q11" s="219">
        <v>19532.100000000002</v>
      </c>
      <c r="R11" s="695">
        <v>4</v>
      </c>
      <c r="S11" s="219">
        <v>156873.15</v>
      </c>
      <c r="T11" s="695">
        <v>4</v>
      </c>
      <c r="U11" s="219">
        <v>79362.150000000009</v>
      </c>
      <c r="V11" s="219">
        <f t="shared" si="0"/>
        <v>2149450.8000000003</v>
      </c>
    </row>
    <row r="12" spans="4:22" x14ac:dyDescent="0.25">
      <c r="D12" s="230">
        <v>7</v>
      </c>
      <c r="E12" s="254" t="s">
        <v>526</v>
      </c>
      <c r="F12" s="695">
        <v>4</v>
      </c>
      <c r="G12" s="219">
        <v>486245.55000000005</v>
      </c>
      <c r="H12" s="695">
        <v>4</v>
      </c>
      <c r="I12" s="219">
        <v>123360.3</v>
      </c>
      <c r="J12" s="695">
        <v>4</v>
      </c>
      <c r="K12" s="219">
        <v>643118.70000000007</v>
      </c>
      <c r="L12" s="695">
        <v>4</v>
      </c>
      <c r="M12" s="219">
        <v>442040.55000000005</v>
      </c>
      <c r="N12" s="695">
        <v>4</v>
      </c>
      <c r="O12" s="219">
        <v>198918.30000000002</v>
      </c>
      <c r="P12" s="695">
        <v>4</v>
      </c>
      <c r="Q12" s="219">
        <v>19532.100000000002</v>
      </c>
      <c r="R12" s="695">
        <v>4</v>
      </c>
      <c r="S12" s="219">
        <v>156873.15</v>
      </c>
      <c r="T12" s="695">
        <v>4</v>
      </c>
      <c r="U12" s="219">
        <v>79362.150000000009</v>
      </c>
      <c r="V12" s="219">
        <f t="shared" si="0"/>
        <v>2149450.8000000003</v>
      </c>
    </row>
    <row r="13" spans="4:22" x14ac:dyDescent="0.25">
      <c r="D13" s="230">
        <v>8</v>
      </c>
      <c r="E13" s="254" t="s">
        <v>316</v>
      </c>
      <c r="F13" s="695">
        <v>4</v>
      </c>
      <c r="G13" s="219">
        <v>486245.55000000005</v>
      </c>
      <c r="H13" s="695">
        <v>4</v>
      </c>
      <c r="I13" s="219">
        <v>123360.3</v>
      </c>
      <c r="J13" s="695">
        <v>4</v>
      </c>
      <c r="K13" s="219">
        <v>643118.70000000007</v>
      </c>
      <c r="L13" s="695">
        <v>4</v>
      </c>
      <c r="M13" s="219">
        <v>442040.55000000005</v>
      </c>
      <c r="N13" s="695">
        <v>4</v>
      </c>
      <c r="O13" s="219">
        <v>198918.30000000002</v>
      </c>
      <c r="P13" s="695">
        <v>4</v>
      </c>
      <c r="Q13" s="219">
        <v>19532.100000000002</v>
      </c>
      <c r="R13" s="695">
        <v>4</v>
      </c>
      <c r="S13" s="219">
        <v>156873.15</v>
      </c>
      <c r="T13" s="695">
        <v>4</v>
      </c>
      <c r="U13" s="219">
        <v>79362.150000000009</v>
      </c>
      <c r="V13" s="219">
        <f t="shared" si="0"/>
        <v>2149450.8000000003</v>
      </c>
    </row>
    <row r="14" spans="4:22" x14ac:dyDescent="0.25">
      <c r="D14" s="230">
        <v>9</v>
      </c>
      <c r="E14" s="254" t="s">
        <v>250</v>
      </c>
      <c r="F14" s="695">
        <v>4</v>
      </c>
      <c r="G14" s="219">
        <v>486245.55000000005</v>
      </c>
      <c r="H14" s="695">
        <v>4</v>
      </c>
      <c r="I14" s="219">
        <v>123360.3</v>
      </c>
      <c r="J14" s="695">
        <v>4</v>
      </c>
      <c r="K14" s="219">
        <v>643118.70000000007</v>
      </c>
      <c r="L14" s="695">
        <v>4</v>
      </c>
      <c r="M14" s="219">
        <v>442040.55000000005</v>
      </c>
      <c r="N14" s="695">
        <v>4</v>
      </c>
      <c r="O14" s="219">
        <v>198918.30000000002</v>
      </c>
      <c r="P14" s="695">
        <v>4</v>
      </c>
      <c r="Q14" s="219">
        <v>19532.100000000002</v>
      </c>
      <c r="R14" s="695">
        <v>4</v>
      </c>
      <c r="S14" s="219">
        <v>156873.15</v>
      </c>
      <c r="T14" s="695">
        <v>4</v>
      </c>
      <c r="U14" s="219">
        <v>79362.150000000009</v>
      </c>
      <c r="V14" s="219">
        <f t="shared" si="0"/>
        <v>2149450.8000000003</v>
      </c>
    </row>
    <row r="15" spans="4:22" x14ac:dyDescent="0.25">
      <c r="D15" s="230">
        <v>10</v>
      </c>
      <c r="E15" s="254" t="s">
        <v>251</v>
      </c>
      <c r="F15" s="695">
        <v>4</v>
      </c>
      <c r="G15" s="219">
        <v>486245.55000000005</v>
      </c>
      <c r="H15" s="695">
        <v>4</v>
      </c>
      <c r="I15" s="219">
        <v>123360.3</v>
      </c>
      <c r="J15" s="695">
        <v>4</v>
      </c>
      <c r="K15" s="219">
        <v>643118.70000000007</v>
      </c>
      <c r="L15" s="695">
        <v>4</v>
      </c>
      <c r="M15" s="219">
        <v>442040.55000000005</v>
      </c>
      <c r="N15" s="695">
        <v>4</v>
      </c>
      <c r="O15" s="219">
        <v>198918.30000000002</v>
      </c>
      <c r="P15" s="695">
        <v>4</v>
      </c>
      <c r="Q15" s="219">
        <v>19532.100000000002</v>
      </c>
      <c r="R15" s="695">
        <v>4</v>
      </c>
      <c r="S15" s="219">
        <v>156873.15</v>
      </c>
      <c r="T15" s="695">
        <v>4</v>
      </c>
      <c r="U15" s="219">
        <v>79362.150000000009</v>
      </c>
      <c r="V15" s="219">
        <f t="shared" si="0"/>
        <v>2149450.8000000003</v>
      </c>
    </row>
    <row r="16" spans="4:22" x14ac:dyDescent="0.25">
      <c r="D16" s="230">
        <v>11</v>
      </c>
      <c r="E16" s="254" t="s">
        <v>252</v>
      </c>
      <c r="F16" s="695">
        <v>4</v>
      </c>
      <c r="G16" s="219">
        <v>486245.55000000005</v>
      </c>
      <c r="H16" s="695">
        <v>4</v>
      </c>
      <c r="I16" s="219">
        <v>123360.3</v>
      </c>
      <c r="J16" s="695">
        <v>4</v>
      </c>
      <c r="K16" s="219">
        <v>643118.70000000007</v>
      </c>
      <c r="L16" s="695">
        <v>4</v>
      </c>
      <c r="M16" s="219">
        <v>442040.55000000005</v>
      </c>
      <c r="N16" s="695">
        <v>4</v>
      </c>
      <c r="O16" s="219">
        <v>198918.30000000002</v>
      </c>
      <c r="P16" s="695">
        <v>4</v>
      </c>
      <c r="Q16" s="219">
        <v>19532.100000000002</v>
      </c>
      <c r="R16" s="695">
        <v>4</v>
      </c>
      <c r="S16" s="219">
        <v>156873.15</v>
      </c>
      <c r="T16" s="695">
        <v>4</v>
      </c>
      <c r="U16" s="219">
        <v>79362.150000000009</v>
      </c>
      <c r="V16" s="219">
        <f t="shared" si="0"/>
        <v>2149450.8000000003</v>
      </c>
    </row>
    <row r="17" spans="4:22" x14ac:dyDescent="0.25">
      <c r="D17" s="230">
        <v>12</v>
      </c>
      <c r="E17" s="254" t="s">
        <v>253</v>
      </c>
      <c r="F17" s="695">
        <v>4</v>
      </c>
      <c r="G17" s="219">
        <v>486245.55000000005</v>
      </c>
      <c r="H17" s="695">
        <v>4</v>
      </c>
      <c r="I17" s="219">
        <v>123360.3</v>
      </c>
      <c r="J17" s="695">
        <v>4</v>
      </c>
      <c r="K17" s="219">
        <v>643118.70000000007</v>
      </c>
      <c r="L17" s="695">
        <v>4</v>
      </c>
      <c r="M17" s="219">
        <v>442040.55000000005</v>
      </c>
      <c r="N17" s="695">
        <v>4</v>
      </c>
      <c r="O17" s="219">
        <v>198918.30000000002</v>
      </c>
      <c r="P17" s="695">
        <v>4</v>
      </c>
      <c r="Q17" s="219">
        <v>19532.100000000002</v>
      </c>
      <c r="R17" s="695">
        <v>4</v>
      </c>
      <c r="S17" s="219">
        <v>156873.15</v>
      </c>
      <c r="T17" s="695">
        <v>4</v>
      </c>
      <c r="U17" s="219">
        <v>79362.150000000009</v>
      </c>
      <c r="V17" s="219">
        <f t="shared" si="0"/>
        <v>2149450.8000000003</v>
      </c>
    </row>
    <row r="18" spans="4:22" x14ac:dyDescent="0.25">
      <c r="D18" s="230">
        <v>13</v>
      </c>
      <c r="E18" s="256" t="s">
        <v>254</v>
      </c>
      <c r="F18" s="695">
        <v>4</v>
      </c>
      <c r="G18" s="219">
        <v>486245.55000000005</v>
      </c>
      <c r="H18" s="695">
        <v>4</v>
      </c>
      <c r="I18" s="219">
        <v>123360.3</v>
      </c>
      <c r="J18" s="695">
        <v>4</v>
      </c>
      <c r="K18" s="219">
        <v>643118.70000000007</v>
      </c>
      <c r="L18" s="695">
        <v>4</v>
      </c>
      <c r="M18" s="219">
        <v>442040.55000000005</v>
      </c>
      <c r="N18" s="695">
        <v>4</v>
      </c>
      <c r="O18" s="219">
        <v>198918.30000000002</v>
      </c>
      <c r="P18" s="695">
        <v>4</v>
      </c>
      <c r="Q18" s="219">
        <v>19532.100000000002</v>
      </c>
      <c r="R18" s="695">
        <v>4</v>
      </c>
      <c r="S18" s="219">
        <v>156873.15</v>
      </c>
      <c r="T18" s="695">
        <v>4</v>
      </c>
      <c r="U18" s="219">
        <v>79362.150000000009</v>
      </c>
      <c r="V18" s="219">
        <f t="shared" si="0"/>
        <v>2149450.8000000003</v>
      </c>
    </row>
    <row r="19" spans="4:22" x14ac:dyDescent="0.25">
      <c r="D19" s="230">
        <v>14</v>
      </c>
      <c r="E19" s="254" t="s">
        <v>255</v>
      </c>
      <c r="F19" s="695">
        <v>4</v>
      </c>
      <c r="G19" s="219">
        <v>486245.55000000005</v>
      </c>
      <c r="H19" s="695">
        <v>4</v>
      </c>
      <c r="I19" s="219">
        <v>123360.3</v>
      </c>
      <c r="J19" s="695">
        <v>4</v>
      </c>
      <c r="K19" s="219">
        <v>643118.70000000007</v>
      </c>
      <c r="L19" s="695">
        <v>4</v>
      </c>
      <c r="M19" s="219">
        <v>442040.55000000005</v>
      </c>
      <c r="N19" s="695">
        <v>4</v>
      </c>
      <c r="O19" s="219">
        <v>198918.30000000002</v>
      </c>
      <c r="P19" s="695">
        <v>4</v>
      </c>
      <c r="Q19" s="219">
        <v>19532.100000000002</v>
      </c>
      <c r="R19" s="695">
        <v>4</v>
      </c>
      <c r="S19" s="219">
        <v>156873.15</v>
      </c>
      <c r="T19" s="695">
        <v>4</v>
      </c>
      <c r="U19" s="219">
        <v>79362.150000000009</v>
      </c>
      <c r="V19" s="219">
        <f t="shared" si="0"/>
        <v>2149450.8000000003</v>
      </c>
    </row>
    <row r="20" spans="4:22" x14ac:dyDescent="0.25">
      <c r="D20" s="230">
        <v>15</v>
      </c>
      <c r="E20" s="254" t="s">
        <v>256</v>
      </c>
      <c r="F20" s="695">
        <v>4</v>
      </c>
      <c r="G20" s="219">
        <v>486245.55000000005</v>
      </c>
      <c r="H20" s="695">
        <v>4</v>
      </c>
      <c r="I20" s="219">
        <v>123360.3</v>
      </c>
      <c r="J20" s="695">
        <v>4</v>
      </c>
      <c r="K20" s="219">
        <v>643118.70000000007</v>
      </c>
      <c r="L20" s="695">
        <v>4</v>
      </c>
      <c r="M20" s="219">
        <v>442040.55000000005</v>
      </c>
      <c r="N20" s="695">
        <v>4</v>
      </c>
      <c r="O20" s="219">
        <v>198918.30000000002</v>
      </c>
      <c r="P20" s="695">
        <v>4</v>
      </c>
      <c r="Q20" s="219">
        <v>19532.100000000002</v>
      </c>
      <c r="R20" s="695">
        <v>4</v>
      </c>
      <c r="S20" s="219">
        <v>156873.15</v>
      </c>
      <c r="T20" s="695">
        <v>4</v>
      </c>
      <c r="U20" s="219">
        <v>79362.150000000009</v>
      </c>
      <c r="V20" s="219">
        <f t="shared" si="0"/>
        <v>2149450.8000000003</v>
      </c>
    </row>
    <row r="21" spans="4:22" x14ac:dyDescent="0.25">
      <c r="D21" s="230">
        <v>16</v>
      </c>
      <c r="E21" s="254" t="s">
        <v>257</v>
      </c>
      <c r="F21" s="695">
        <v>4</v>
      </c>
      <c r="G21" s="219">
        <v>486245.55000000005</v>
      </c>
      <c r="H21" s="695">
        <v>4</v>
      </c>
      <c r="I21" s="219">
        <v>123360.3</v>
      </c>
      <c r="J21" s="695">
        <v>4</v>
      </c>
      <c r="K21" s="219">
        <v>643118.70000000007</v>
      </c>
      <c r="L21" s="695">
        <v>4</v>
      </c>
      <c r="M21" s="219">
        <v>442040.55000000005</v>
      </c>
      <c r="N21" s="695">
        <v>4</v>
      </c>
      <c r="O21" s="219">
        <v>198918.30000000002</v>
      </c>
      <c r="P21" s="695">
        <v>4</v>
      </c>
      <c r="Q21" s="219">
        <v>19532.100000000002</v>
      </c>
      <c r="R21" s="695">
        <v>4</v>
      </c>
      <c r="S21" s="219">
        <v>156873.15</v>
      </c>
      <c r="T21" s="695">
        <v>4</v>
      </c>
      <c r="U21" s="219">
        <v>79362.150000000009</v>
      </c>
      <c r="V21" s="219">
        <f t="shared" si="0"/>
        <v>2149450.8000000003</v>
      </c>
    </row>
    <row r="22" spans="4:22" x14ac:dyDescent="0.25">
      <c r="D22" s="230">
        <v>17</v>
      </c>
      <c r="E22" s="254" t="s">
        <v>258</v>
      </c>
      <c r="F22" s="695">
        <v>4</v>
      </c>
      <c r="G22" s="219">
        <v>486245.55000000005</v>
      </c>
      <c r="H22" s="695">
        <v>4</v>
      </c>
      <c r="I22" s="219">
        <v>123360.3</v>
      </c>
      <c r="J22" s="695">
        <v>4</v>
      </c>
      <c r="K22" s="219">
        <v>643118.70000000007</v>
      </c>
      <c r="L22" s="695">
        <v>4</v>
      </c>
      <c r="M22" s="219">
        <v>442040.55000000005</v>
      </c>
      <c r="N22" s="695">
        <v>4</v>
      </c>
      <c r="O22" s="219">
        <v>198918.30000000002</v>
      </c>
      <c r="P22" s="695">
        <v>4</v>
      </c>
      <c r="Q22" s="219">
        <v>19532.100000000002</v>
      </c>
      <c r="R22" s="695">
        <v>4</v>
      </c>
      <c r="S22" s="219">
        <v>156873.15</v>
      </c>
      <c r="T22" s="695">
        <v>4</v>
      </c>
      <c r="U22" s="219">
        <v>79362.150000000009</v>
      </c>
      <c r="V22" s="219">
        <f t="shared" si="0"/>
        <v>2149450.8000000003</v>
      </c>
    </row>
    <row r="23" spans="4:22" x14ac:dyDescent="0.25">
      <c r="D23" s="230">
        <v>18</v>
      </c>
      <c r="E23" s="254" t="s">
        <v>259</v>
      </c>
      <c r="F23" s="695">
        <v>4</v>
      </c>
      <c r="G23" s="219">
        <v>486245.55000000005</v>
      </c>
      <c r="H23" s="695">
        <v>4</v>
      </c>
      <c r="I23" s="219">
        <v>123360.3</v>
      </c>
      <c r="J23" s="695">
        <v>4</v>
      </c>
      <c r="K23" s="219">
        <v>643118.70000000007</v>
      </c>
      <c r="L23" s="695">
        <v>4</v>
      </c>
      <c r="M23" s="219">
        <v>442040.55000000005</v>
      </c>
      <c r="N23" s="695">
        <v>4</v>
      </c>
      <c r="O23" s="219">
        <v>198918.30000000002</v>
      </c>
      <c r="P23" s="695">
        <v>4</v>
      </c>
      <c r="Q23" s="219">
        <v>19532.100000000002</v>
      </c>
      <c r="R23" s="695">
        <v>4</v>
      </c>
      <c r="S23" s="219">
        <v>156873.15</v>
      </c>
      <c r="T23" s="695">
        <v>4</v>
      </c>
      <c r="U23" s="219">
        <v>79362.150000000009</v>
      </c>
      <c r="V23" s="219">
        <f t="shared" si="0"/>
        <v>2149450.8000000003</v>
      </c>
    </row>
    <row r="24" spans="4:22" x14ac:dyDescent="0.25">
      <c r="D24" s="230">
        <v>19</v>
      </c>
      <c r="E24" s="254" t="s">
        <v>260</v>
      </c>
      <c r="F24" s="695">
        <v>4</v>
      </c>
      <c r="G24" s="219">
        <v>486245.55000000005</v>
      </c>
      <c r="H24" s="695">
        <v>4</v>
      </c>
      <c r="I24" s="219">
        <v>123360.3</v>
      </c>
      <c r="J24" s="695">
        <v>4</v>
      </c>
      <c r="K24" s="219">
        <v>643118.70000000007</v>
      </c>
      <c r="L24" s="695">
        <v>4</v>
      </c>
      <c r="M24" s="219">
        <v>442040.55000000005</v>
      </c>
      <c r="N24" s="695">
        <v>4</v>
      </c>
      <c r="O24" s="219">
        <v>198918.30000000002</v>
      </c>
      <c r="P24" s="695">
        <v>4</v>
      </c>
      <c r="Q24" s="219">
        <v>19532.100000000002</v>
      </c>
      <c r="R24" s="695">
        <v>4</v>
      </c>
      <c r="S24" s="219">
        <v>156873.15</v>
      </c>
      <c r="T24" s="695">
        <v>4</v>
      </c>
      <c r="U24" s="219">
        <v>79362.150000000009</v>
      </c>
      <c r="V24" s="219">
        <f t="shared" si="0"/>
        <v>2149450.8000000003</v>
      </c>
    </row>
    <row r="25" spans="4:22" x14ac:dyDescent="0.25">
      <c r="D25" s="230">
        <v>20</v>
      </c>
      <c r="E25" s="254" t="s">
        <v>261</v>
      </c>
      <c r="F25" s="695">
        <v>4</v>
      </c>
      <c r="G25" s="219">
        <v>486245.55000000005</v>
      </c>
      <c r="H25" s="695">
        <v>4</v>
      </c>
      <c r="I25" s="219">
        <v>123360.3</v>
      </c>
      <c r="J25" s="695">
        <v>4</v>
      </c>
      <c r="K25" s="219">
        <v>643118.70000000007</v>
      </c>
      <c r="L25" s="695">
        <v>4</v>
      </c>
      <c r="M25" s="219">
        <v>442040.55000000005</v>
      </c>
      <c r="N25" s="695">
        <v>4</v>
      </c>
      <c r="O25" s="219">
        <v>198918.30000000002</v>
      </c>
      <c r="P25" s="695">
        <v>4</v>
      </c>
      <c r="Q25" s="219">
        <v>19532.100000000002</v>
      </c>
      <c r="R25" s="695">
        <v>4</v>
      </c>
      <c r="S25" s="219">
        <v>156873.15</v>
      </c>
      <c r="T25" s="695">
        <v>4</v>
      </c>
      <c r="U25" s="219">
        <v>79362.150000000009</v>
      </c>
      <c r="V25" s="219">
        <f t="shared" si="0"/>
        <v>2149450.8000000003</v>
      </c>
    </row>
    <row r="26" spans="4:22" x14ac:dyDescent="0.25">
      <c r="D26" s="230">
        <v>21</v>
      </c>
      <c r="E26" s="254" t="s">
        <v>262</v>
      </c>
      <c r="F26" s="695">
        <v>4</v>
      </c>
      <c r="G26" s="219">
        <v>486245.55000000005</v>
      </c>
      <c r="H26" s="695">
        <v>4</v>
      </c>
      <c r="I26" s="219">
        <v>123360.3</v>
      </c>
      <c r="J26" s="695">
        <v>4</v>
      </c>
      <c r="K26" s="219">
        <v>643118.70000000007</v>
      </c>
      <c r="L26" s="695">
        <v>4</v>
      </c>
      <c r="M26" s="219">
        <v>442040.55000000005</v>
      </c>
      <c r="N26" s="695">
        <v>4</v>
      </c>
      <c r="O26" s="219">
        <v>198918.30000000002</v>
      </c>
      <c r="P26" s="695">
        <v>4</v>
      </c>
      <c r="Q26" s="219">
        <v>19532.100000000002</v>
      </c>
      <c r="R26" s="695">
        <v>4</v>
      </c>
      <c r="S26" s="219">
        <v>156873.15</v>
      </c>
      <c r="T26" s="695">
        <v>4</v>
      </c>
      <c r="U26" s="219">
        <v>79362.150000000009</v>
      </c>
      <c r="V26" s="219">
        <f t="shared" si="0"/>
        <v>2149450.8000000003</v>
      </c>
    </row>
    <row r="27" spans="4:22" x14ac:dyDescent="0.25">
      <c r="D27" s="230">
        <v>22</v>
      </c>
      <c r="E27" s="254" t="s">
        <v>263</v>
      </c>
      <c r="F27" s="695">
        <v>4</v>
      </c>
      <c r="G27" s="219">
        <v>486245.55000000005</v>
      </c>
      <c r="H27" s="695">
        <v>4</v>
      </c>
      <c r="I27" s="219">
        <v>123360.3</v>
      </c>
      <c r="J27" s="695">
        <v>4</v>
      </c>
      <c r="K27" s="219">
        <v>643118.70000000007</v>
      </c>
      <c r="L27" s="695">
        <v>4</v>
      </c>
      <c r="M27" s="219">
        <v>442040.55000000005</v>
      </c>
      <c r="N27" s="695">
        <v>4</v>
      </c>
      <c r="O27" s="219">
        <v>198918.30000000002</v>
      </c>
      <c r="P27" s="695">
        <v>4</v>
      </c>
      <c r="Q27" s="219">
        <v>19532.100000000002</v>
      </c>
      <c r="R27" s="695">
        <v>4</v>
      </c>
      <c r="S27" s="219">
        <v>156873.15</v>
      </c>
      <c r="T27" s="695">
        <v>4</v>
      </c>
      <c r="U27" s="219">
        <v>79362.150000000009</v>
      </c>
      <c r="V27" s="219">
        <f t="shared" si="0"/>
        <v>2149450.8000000003</v>
      </c>
    </row>
    <row r="28" spans="4:22" x14ac:dyDescent="0.25">
      <c r="D28" s="230">
        <v>23</v>
      </c>
      <c r="E28" s="254" t="s">
        <v>264</v>
      </c>
      <c r="F28" s="695">
        <v>4</v>
      </c>
      <c r="G28" s="219">
        <v>486245.55000000005</v>
      </c>
      <c r="H28" s="695">
        <v>4</v>
      </c>
      <c r="I28" s="219">
        <v>123360.3</v>
      </c>
      <c r="J28" s="695">
        <v>4</v>
      </c>
      <c r="K28" s="219">
        <v>643118.70000000007</v>
      </c>
      <c r="L28" s="695">
        <v>4</v>
      </c>
      <c r="M28" s="219">
        <v>442040.55000000005</v>
      </c>
      <c r="N28" s="695">
        <v>4</v>
      </c>
      <c r="O28" s="219">
        <v>198918.30000000002</v>
      </c>
      <c r="P28" s="695">
        <v>4</v>
      </c>
      <c r="Q28" s="219">
        <v>19532.100000000002</v>
      </c>
      <c r="R28" s="695">
        <v>4</v>
      </c>
      <c r="S28" s="219">
        <v>156873.15</v>
      </c>
      <c r="T28" s="695">
        <v>4</v>
      </c>
      <c r="U28" s="219">
        <v>79362.150000000009</v>
      </c>
      <c r="V28" s="219">
        <f t="shared" si="0"/>
        <v>2149450.8000000003</v>
      </c>
    </row>
    <row r="29" spans="4:22" x14ac:dyDescent="0.25">
      <c r="D29" s="230">
        <v>24</v>
      </c>
      <c r="E29" s="254" t="s">
        <v>266</v>
      </c>
      <c r="F29" s="695">
        <v>4</v>
      </c>
      <c r="G29" s="219">
        <v>486245.55000000005</v>
      </c>
      <c r="H29" s="695">
        <v>4</v>
      </c>
      <c r="I29" s="219">
        <v>123360.3</v>
      </c>
      <c r="J29" s="695">
        <v>4</v>
      </c>
      <c r="K29" s="219">
        <v>643118.70000000007</v>
      </c>
      <c r="L29" s="695">
        <v>4</v>
      </c>
      <c r="M29" s="219">
        <v>442040.55000000005</v>
      </c>
      <c r="N29" s="695">
        <v>4</v>
      </c>
      <c r="O29" s="219">
        <v>198918.30000000002</v>
      </c>
      <c r="P29" s="695">
        <v>4</v>
      </c>
      <c r="Q29" s="219">
        <v>19532.100000000002</v>
      </c>
      <c r="R29" s="695">
        <v>4</v>
      </c>
      <c r="S29" s="219">
        <v>156873.15</v>
      </c>
      <c r="T29" s="695">
        <v>4</v>
      </c>
      <c r="U29" s="219">
        <v>79362.150000000009</v>
      </c>
      <c r="V29" s="219">
        <f t="shared" si="0"/>
        <v>2149450.8000000003</v>
      </c>
    </row>
    <row r="30" spans="4:22" x14ac:dyDescent="0.25">
      <c r="D30" s="230">
        <v>25</v>
      </c>
      <c r="E30" s="254" t="s">
        <v>267</v>
      </c>
      <c r="F30" s="695">
        <v>4</v>
      </c>
      <c r="G30" s="219">
        <v>486245.55000000005</v>
      </c>
      <c r="H30" s="695">
        <v>4</v>
      </c>
      <c r="I30" s="219">
        <v>123360.3</v>
      </c>
      <c r="J30" s="695">
        <v>4</v>
      </c>
      <c r="K30" s="219">
        <v>643118.70000000007</v>
      </c>
      <c r="L30" s="695">
        <v>4</v>
      </c>
      <c r="M30" s="219">
        <v>442040.55000000005</v>
      </c>
      <c r="N30" s="695">
        <v>4</v>
      </c>
      <c r="O30" s="219">
        <v>198918.30000000002</v>
      </c>
      <c r="P30" s="695">
        <v>4</v>
      </c>
      <c r="Q30" s="219">
        <v>19532.100000000002</v>
      </c>
      <c r="R30" s="695">
        <v>4</v>
      </c>
      <c r="S30" s="219">
        <v>156873.15</v>
      </c>
      <c r="T30" s="695">
        <v>4</v>
      </c>
      <c r="U30" s="219">
        <v>79362.150000000009</v>
      </c>
      <c r="V30" s="219">
        <f t="shared" si="0"/>
        <v>2149450.8000000003</v>
      </c>
    </row>
    <row r="31" spans="4:22" x14ac:dyDescent="0.25">
      <c r="D31" s="230">
        <v>26</v>
      </c>
      <c r="E31" s="254" t="s">
        <v>268</v>
      </c>
      <c r="F31" s="695">
        <v>4</v>
      </c>
      <c r="G31" s="219">
        <v>486245.55000000005</v>
      </c>
      <c r="H31" s="695">
        <v>4</v>
      </c>
      <c r="I31" s="219">
        <v>123360.3</v>
      </c>
      <c r="J31" s="695">
        <v>4</v>
      </c>
      <c r="K31" s="219">
        <v>643118.70000000007</v>
      </c>
      <c r="L31" s="695">
        <v>4</v>
      </c>
      <c r="M31" s="219">
        <v>442040.55000000005</v>
      </c>
      <c r="N31" s="695">
        <v>4</v>
      </c>
      <c r="O31" s="219">
        <v>198918.30000000002</v>
      </c>
      <c r="P31" s="695">
        <v>4</v>
      </c>
      <c r="Q31" s="219">
        <v>19532.100000000002</v>
      </c>
      <c r="R31" s="695">
        <v>4</v>
      </c>
      <c r="S31" s="219">
        <v>156873.15</v>
      </c>
      <c r="T31" s="695">
        <v>4</v>
      </c>
      <c r="U31" s="219">
        <v>79362.150000000009</v>
      </c>
      <c r="V31" s="219">
        <f t="shared" si="0"/>
        <v>2149450.8000000003</v>
      </c>
    </row>
    <row r="32" spans="4:22" x14ac:dyDescent="0.25">
      <c r="D32" s="230">
        <v>27</v>
      </c>
      <c r="E32" s="254" t="s">
        <v>269</v>
      </c>
      <c r="F32" s="695">
        <v>4</v>
      </c>
      <c r="G32" s="219">
        <v>486245.55000000005</v>
      </c>
      <c r="H32" s="695">
        <v>4</v>
      </c>
      <c r="I32" s="219">
        <v>123360.3</v>
      </c>
      <c r="J32" s="695">
        <v>4</v>
      </c>
      <c r="K32" s="219">
        <v>643118.70000000007</v>
      </c>
      <c r="L32" s="695">
        <v>4</v>
      </c>
      <c r="M32" s="219">
        <v>442040.55000000005</v>
      </c>
      <c r="N32" s="695">
        <v>4</v>
      </c>
      <c r="O32" s="219">
        <v>198918.30000000002</v>
      </c>
      <c r="P32" s="695">
        <v>4</v>
      </c>
      <c r="Q32" s="219">
        <v>19532.100000000002</v>
      </c>
      <c r="R32" s="695">
        <v>4</v>
      </c>
      <c r="S32" s="219">
        <v>156873.15</v>
      </c>
      <c r="T32" s="695">
        <v>4</v>
      </c>
      <c r="U32" s="219">
        <v>79362.150000000009</v>
      </c>
      <c r="V32" s="219">
        <f t="shared" si="0"/>
        <v>2149450.8000000003</v>
      </c>
    </row>
    <row r="33" spans="4:22" x14ac:dyDescent="0.25">
      <c r="D33" s="230">
        <v>28</v>
      </c>
      <c r="E33" s="254" t="s">
        <v>270</v>
      </c>
      <c r="F33" s="695">
        <v>4</v>
      </c>
      <c r="G33" s="219">
        <v>486245.55000000005</v>
      </c>
      <c r="H33" s="695">
        <v>4</v>
      </c>
      <c r="I33" s="219">
        <v>123360.3</v>
      </c>
      <c r="J33" s="695">
        <v>4</v>
      </c>
      <c r="K33" s="219">
        <v>643118.70000000007</v>
      </c>
      <c r="L33" s="695">
        <v>4</v>
      </c>
      <c r="M33" s="219">
        <v>442040.55000000005</v>
      </c>
      <c r="N33" s="695">
        <v>4</v>
      </c>
      <c r="O33" s="219">
        <v>198918.30000000002</v>
      </c>
      <c r="P33" s="695">
        <v>4</v>
      </c>
      <c r="Q33" s="219">
        <v>19532.100000000002</v>
      </c>
      <c r="R33" s="695">
        <v>4</v>
      </c>
      <c r="S33" s="219">
        <v>156873.15</v>
      </c>
      <c r="T33" s="695">
        <v>4</v>
      </c>
      <c r="U33" s="219">
        <v>79362.150000000009</v>
      </c>
      <c r="V33" s="219">
        <f t="shared" si="0"/>
        <v>2149450.8000000003</v>
      </c>
    </row>
    <row r="34" spans="4:22" x14ac:dyDescent="0.25">
      <c r="D34" s="230">
        <v>29</v>
      </c>
      <c r="E34" s="254" t="s">
        <v>271</v>
      </c>
      <c r="F34" s="695">
        <v>4</v>
      </c>
      <c r="G34" s="219">
        <v>486245.55000000005</v>
      </c>
      <c r="H34" s="695">
        <v>4</v>
      </c>
      <c r="I34" s="219">
        <v>123360.3</v>
      </c>
      <c r="J34" s="695">
        <v>4</v>
      </c>
      <c r="K34" s="219">
        <v>643118.70000000007</v>
      </c>
      <c r="L34" s="695">
        <v>4</v>
      </c>
      <c r="M34" s="219">
        <v>442040.55000000005</v>
      </c>
      <c r="N34" s="695">
        <v>4</v>
      </c>
      <c r="O34" s="219">
        <v>198918.30000000002</v>
      </c>
      <c r="P34" s="695">
        <v>4</v>
      </c>
      <c r="Q34" s="219">
        <v>19532.100000000002</v>
      </c>
      <c r="R34" s="695">
        <v>4</v>
      </c>
      <c r="S34" s="219">
        <v>156873.15</v>
      </c>
      <c r="T34" s="695">
        <v>4</v>
      </c>
      <c r="U34" s="219">
        <v>79362.150000000009</v>
      </c>
      <c r="V34" s="219">
        <f t="shared" si="0"/>
        <v>2149450.8000000003</v>
      </c>
    </row>
    <row r="35" spans="4:22" x14ac:dyDescent="0.25">
      <c r="D35" s="230">
        <v>30</v>
      </c>
      <c r="E35" s="254" t="s">
        <v>272</v>
      </c>
      <c r="F35" s="695">
        <v>4</v>
      </c>
      <c r="G35" s="219">
        <v>486245.55000000005</v>
      </c>
      <c r="H35" s="695">
        <v>4</v>
      </c>
      <c r="I35" s="219">
        <v>123360.3</v>
      </c>
      <c r="J35" s="695">
        <v>4</v>
      </c>
      <c r="K35" s="219">
        <v>643118.70000000007</v>
      </c>
      <c r="L35" s="695">
        <v>4</v>
      </c>
      <c r="M35" s="219">
        <v>442040.55000000005</v>
      </c>
      <c r="N35" s="695">
        <v>4</v>
      </c>
      <c r="O35" s="219">
        <v>198918.30000000002</v>
      </c>
      <c r="P35" s="695">
        <v>4</v>
      </c>
      <c r="Q35" s="219">
        <v>19532.100000000002</v>
      </c>
      <c r="R35" s="695">
        <v>4</v>
      </c>
      <c r="S35" s="219">
        <v>156873.15</v>
      </c>
      <c r="T35" s="695">
        <v>4</v>
      </c>
      <c r="U35" s="219">
        <v>79362.150000000009</v>
      </c>
      <c r="V35" s="219">
        <f t="shared" si="0"/>
        <v>2149450.8000000003</v>
      </c>
    </row>
    <row r="36" spans="4:22" x14ac:dyDescent="0.25">
      <c r="D36" s="230">
        <v>31</v>
      </c>
      <c r="E36" s="254" t="s">
        <v>273</v>
      </c>
      <c r="F36" s="695">
        <v>4</v>
      </c>
      <c r="G36" s="219">
        <v>486245.55000000005</v>
      </c>
      <c r="H36" s="695">
        <v>4</v>
      </c>
      <c r="I36" s="219">
        <v>123360.3</v>
      </c>
      <c r="J36" s="695">
        <v>4</v>
      </c>
      <c r="K36" s="219">
        <v>643118.70000000007</v>
      </c>
      <c r="L36" s="695">
        <v>4</v>
      </c>
      <c r="M36" s="219">
        <v>442040.55000000005</v>
      </c>
      <c r="N36" s="695">
        <v>4</v>
      </c>
      <c r="O36" s="219">
        <v>198918.30000000002</v>
      </c>
      <c r="P36" s="695">
        <v>4</v>
      </c>
      <c r="Q36" s="219">
        <v>19532.100000000002</v>
      </c>
      <c r="R36" s="695">
        <v>4</v>
      </c>
      <c r="S36" s="219">
        <v>156873.15</v>
      </c>
      <c r="T36" s="695">
        <v>4</v>
      </c>
      <c r="U36" s="219">
        <v>79362.150000000009</v>
      </c>
      <c r="V36" s="219">
        <f t="shared" si="0"/>
        <v>2149450.8000000003</v>
      </c>
    </row>
    <row r="37" spans="4:22" x14ac:dyDescent="0.25">
      <c r="D37" s="230">
        <v>32</v>
      </c>
      <c r="E37" s="254" t="s">
        <v>274</v>
      </c>
      <c r="F37" s="695">
        <v>4</v>
      </c>
      <c r="G37" s="219">
        <v>486245.55000000005</v>
      </c>
      <c r="H37" s="695">
        <v>4</v>
      </c>
      <c r="I37" s="219">
        <v>123360.3</v>
      </c>
      <c r="J37" s="695">
        <v>4</v>
      </c>
      <c r="K37" s="219">
        <v>643118.70000000007</v>
      </c>
      <c r="L37" s="695">
        <v>4</v>
      </c>
      <c r="M37" s="219">
        <v>442040.55000000005</v>
      </c>
      <c r="N37" s="695">
        <v>4</v>
      </c>
      <c r="O37" s="219">
        <v>198918.30000000002</v>
      </c>
      <c r="P37" s="695">
        <v>4</v>
      </c>
      <c r="Q37" s="219">
        <v>19532.100000000002</v>
      </c>
      <c r="R37" s="695">
        <v>4</v>
      </c>
      <c r="S37" s="219">
        <v>156873.15</v>
      </c>
      <c r="T37" s="695">
        <v>4</v>
      </c>
      <c r="U37" s="219">
        <v>79362.150000000009</v>
      </c>
      <c r="V37" s="219">
        <f t="shared" si="0"/>
        <v>2149450.8000000003</v>
      </c>
    </row>
    <row r="38" spans="4:22" x14ac:dyDescent="0.25">
      <c r="D38" s="230">
        <v>33</v>
      </c>
      <c r="E38" s="254" t="s">
        <v>275</v>
      </c>
      <c r="F38" s="695">
        <v>4</v>
      </c>
      <c r="G38" s="219">
        <v>486245.55000000005</v>
      </c>
      <c r="H38" s="695">
        <v>4</v>
      </c>
      <c r="I38" s="219">
        <v>123360.3</v>
      </c>
      <c r="J38" s="695">
        <v>4</v>
      </c>
      <c r="K38" s="219">
        <v>643118.70000000007</v>
      </c>
      <c r="L38" s="695">
        <v>4</v>
      </c>
      <c r="M38" s="219">
        <v>442040.55000000005</v>
      </c>
      <c r="N38" s="695">
        <v>4</v>
      </c>
      <c r="O38" s="219">
        <v>198918.30000000002</v>
      </c>
      <c r="P38" s="695">
        <v>4</v>
      </c>
      <c r="Q38" s="219">
        <v>19532.100000000002</v>
      </c>
      <c r="R38" s="695">
        <v>4</v>
      </c>
      <c r="S38" s="219">
        <v>156873.15</v>
      </c>
      <c r="T38" s="695">
        <v>4</v>
      </c>
      <c r="U38" s="219">
        <v>79362.150000000009</v>
      </c>
      <c r="V38" s="219">
        <f t="shared" si="0"/>
        <v>2149450.8000000003</v>
      </c>
    </row>
    <row r="39" spans="4:22" x14ac:dyDescent="0.25">
      <c r="D39" s="230">
        <v>34</v>
      </c>
      <c r="E39" s="254" t="s">
        <v>296</v>
      </c>
      <c r="F39" s="695">
        <v>4</v>
      </c>
      <c r="G39" s="219">
        <v>486245.55000000005</v>
      </c>
      <c r="H39" s="695">
        <v>4</v>
      </c>
      <c r="I39" s="219">
        <v>123360.3</v>
      </c>
      <c r="J39" s="695">
        <v>4</v>
      </c>
      <c r="K39" s="219">
        <v>643118.70000000007</v>
      </c>
      <c r="L39" s="695">
        <v>4</v>
      </c>
      <c r="M39" s="219">
        <v>442040.55000000005</v>
      </c>
      <c r="N39" s="695">
        <v>4</v>
      </c>
      <c r="O39" s="219">
        <v>198918.30000000002</v>
      </c>
      <c r="P39" s="695">
        <v>4</v>
      </c>
      <c r="Q39" s="219">
        <v>19532.100000000002</v>
      </c>
      <c r="R39" s="695">
        <v>4</v>
      </c>
      <c r="S39" s="219">
        <v>156873.15</v>
      </c>
      <c r="T39" s="695">
        <v>4</v>
      </c>
      <c r="U39" s="219">
        <v>79362.150000000009</v>
      </c>
      <c r="V39" s="219">
        <f t="shared" si="0"/>
        <v>2149450.8000000003</v>
      </c>
    </row>
    <row r="40" spans="4:22" x14ac:dyDescent="0.25">
      <c r="D40" s="230">
        <v>35</v>
      </c>
      <c r="E40" s="254" t="s">
        <v>277</v>
      </c>
      <c r="F40" s="695">
        <v>4</v>
      </c>
      <c r="G40" s="219">
        <v>486245.55000000005</v>
      </c>
      <c r="H40" s="695">
        <v>4</v>
      </c>
      <c r="I40" s="219">
        <v>123360.3</v>
      </c>
      <c r="J40" s="695">
        <v>4</v>
      </c>
      <c r="K40" s="219">
        <v>643118.70000000007</v>
      </c>
      <c r="L40" s="695">
        <v>4</v>
      </c>
      <c r="M40" s="219">
        <v>442040.55000000005</v>
      </c>
      <c r="N40" s="695">
        <v>4</v>
      </c>
      <c r="O40" s="219">
        <v>198918.30000000002</v>
      </c>
      <c r="P40" s="695">
        <v>4</v>
      </c>
      <c r="Q40" s="219">
        <v>19532.100000000002</v>
      </c>
      <c r="R40" s="695">
        <v>4</v>
      </c>
      <c r="S40" s="219">
        <v>156873.15</v>
      </c>
      <c r="T40" s="695">
        <v>4</v>
      </c>
      <c r="U40" s="219">
        <v>79362.150000000009</v>
      </c>
      <c r="V40" s="219">
        <f t="shared" si="0"/>
        <v>2149450.8000000003</v>
      </c>
    </row>
    <row r="41" spans="4:22" x14ac:dyDescent="0.25">
      <c r="D41" s="230">
        <v>36</v>
      </c>
      <c r="E41" s="254" t="s">
        <v>278</v>
      </c>
      <c r="F41" s="695">
        <v>4</v>
      </c>
      <c r="G41" s="219">
        <v>486245.55000000005</v>
      </c>
      <c r="H41" s="695">
        <v>4</v>
      </c>
      <c r="I41" s="219">
        <v>123360.3</v>
      </c>
      <c r="J41" s="695">
        <v>4</v>
      </c>
      <c r="K41" s="219">
        <v>643118.70000000007</v>
      </c>
      <c r="L41" s="695">
        <v>4</v>
      </c>
      <c r="M41" s="219">
        <v>442040.55000000005</v>
      </c>
      <c r="N41" s="695">
        <v>4</v>
      </c>
      <c r="O41" s="219">
        <v>198918.30000000002</v>
      </c>
      <c r="P41" s="695">
        <v>4</v>
      </c>
      <c r="Q41" s="219">
        <v>19532.100000000002</v>
      </c>
      <c r="R41" s="695">
        <v>4</v>
      </c>
      <c r="S41" s="219">
        <v>156873.15</v>
      </c>
      <c r="T41" s="695">
        <v>4</v>
      </c>
      <c r="U41" s="219">
        <v>79362.150000000009</v>
      </c>
      <c r="V41" s="219">
        <f t="shared" si="0"/>
        <v>2149450.8000000003</v>
      </c>
    </row>
    <row r="42" spans="4:22" x14ac:dyDescent="0.25">
      <c r="D42" s="230">
        <v>37</v>
      </c>
      <c r="E42" s="254" t="s">
        <v>280</v>
      </c>
      <c r="F42" s="695"/>
      <c r="G42" s="219">
        <v>486245.55000000005</v>
      </c>
      <c r="H42" s="695"/>
      <c r="I42" s="219">
        <v>123360.3</v>
      </c>
      <c r="J42" s="695"/>
      <c r="K42" s="219">
        <v>643118.70000000007</v>
      </c>
      <c r="L42" s="695"/>
      <c r="M42" s="219">
        <v>442040.55000000005</v>
      </c>
      <c r="N42" s="695"/>
      <c r="O42" s="219">
        <v>198918.30000000002</v>
      </c>
      <c r="P42" s="695"/>
      <c r="Q42" s="219">
        <v>19532.100000000002</v>
      </c>
      <c r="R42" s="695"/>
      <c r="S42" s="219">
        <v>156873.15</v>
      </c>
      <c r="T42" s="695"/>
      <c r="U42" s="219">
        <v>79362.150000000009</v>
      </c>
      <c r="V42" s="219">
        <f t="shared" si="0"/>
        <v>2149450.8000000003</v>
      </c>
    </row>
    <row r="43" spans="4:22" x14ac:dyDescent="0.25">
      <c r="D43" s="967" t="s">
        <v>297</v>
      </c>
      <c r="E43" s="967"/>
      <c r="F43" s="696">
        <f t="shared" ref="F43:V43" si="1">SUM(F6:F42)</f>
        <v>144</v>
      </c>
      <c r="G43" s="589">
        <f t="shared" si="1"/>
        <v>17991085.350000013</v>
      </c>
      <c r="H43" s="696">
        <f t="shared" si="1"/>
        <v>144</v>
      </c>
      <c r="I43" s="589">
        <f t="shared" si="1"/>
        <v>4564331.0999999968</v>
      </c>
      <c r="J43" s="696">
        <f t="shared" si="1"/>
        <v>140</v>
      </c>
      <c r="K43" s="589">
        <f t="shared" si="1"/>
        <v>23795391.899999984</v>
      </c>
      <c r="L43" s="696">
        <f t="shared" si="1"/>
        <v>140</v>
      </c>
      <c r="M43" s="589">
        <f t="shared" si="1"/>
        <v>16355500.350000011</v>
      </c>
      <c r="N43" s="696">
        <f t="shared" si="1"/>
        <v>140</v>
      </c>
      <c r="O43" s="589">
        <f t="shared" si="1"/>
        <v>7359977.0999999959</v>
      </c>
      <c r="P43" s="696">
        <f t="shared" si="1"/>
        <v>140</v>
      </c>
      <c r="Q43" s="589">
        <f t="shared" si="1"/>
        <v>722687.69999999949</v>
      </c>
      <c r="R43" s="697">
        <f t="shared" si="1"/>
        <v>140</v>
      </c>
      <c r="S43" s="589">
        <f t="shared" si="1"/>
        <v>5804306.5500000026</v>
      </c>
      <c r="T43" s="696">
        <f t="shared" si="1"/>
        <v>140</v>
      </c>
      <c r="U43" s="589">
        <f t="shared" si="1"/>
        <v>2936399.549999998</v>
      </c>
      <c r="V43" s="694">
        <f t="shared" si="1"/>
        <v>79529679.599999949</v>
      </c>
    </row>
    <row r="44" spans="4:22" x14ac:dyDescent="0.25">
      <c r="D44" s="699"/>
      <c r="E44" s="248"/>
      <c r="F44" s="698"/>
      <c r="G44" s="698"/>
      <c r="H44" s="698"/>
      <c r="I44" s="698"/>
      <c r="J44" s="698"/>
      <c r="K44" s="698"/>
      <c r="L44" s="698"/>
      <c r="M44" s="698"/>
      <c r="N44" s="698"/>
      <c r="O44" s="698"/>
      <c r="P44" s="698"/>
      <c r="Q44" s="698"/>
      <c r="R44" s="698"/>
      <c r="S44" s="1046" t="s">
        <v>161</v>
      </c>
      <c r="T44" s="1046"/>
      <c r="U44" s="1046"/>
      <c r="V44" s="224">
        <f>SUM(U43+S43+Q43+O43+M43+K43+I43+G43)</f>
        <v>79529679.599999994</v>
      </c>
    </row>
    <row r="45" spans="4:22" x14ac:dyDescent="0.25">
      <c r="D45" s="699"/>
      <c r="E45" s="248"/>
      <c r="F45" s="698"/>
      <c r="G45" s="698"/>
      <c r="H45" s="698"/>
      <c r="I45" s="698"/>
      <c r="J45" s="698"/>
      <c r="K45" s="698"/>
      <c r="L45" s="698"/>
      <c r="M45" s="698"/>
      <c r="N45" s="698"/>
      <c r="O45" s="698"/>
      <c r="P45" s="698"/>
      <c r="Q45" s="698"/>
      <c r="R45" s="698"/>
      <c r="S45" s="1046" t="s">
        <v>583</v>
      </c>
      <c r="T45" s="1046"/>
      <c r="U45" s="1046"/>
      <c r="V45" s="224">
        <f>V44*0.7</f>
        <v>55670775.719999991</v>
      </c>
    </row>
  </sheetData>
  <mergeCells count="15">
    <mergeCell ref="D43:E43"/>
    <mergeCell ref="S44:U44"/>
    <mergeCell ref="S45:U45"/>
    <mergeCell ref="D3:V3"/>
    <mergeCell ref="F4:G4"/>
    <mergeCell ref="H4:I4"/>
    <mergeCell ref="J4:K4"/>
    <mergeCell ref="L4:M4"/>
    <mergeCell ref="N4:O4"/>
    <mergeCell ref="P4:Q4"/>
    <mergeCell ref="R4:S4"/>
    <mergeCell ref="T4:U4"/>
    <mergeCell ref="V4:V5"/>
    <mergeCell ref="D4:D5"/>
    <mergeCell ref="E4:E5"/>
  </mergeCells>
  <pageMargins left="0.7" right="0.7" top="0.75" bottom="0.75" header="0.3" footer="0.3"/>
  <pageSetup paperSize="5" scale="70" orientation="landscape" r:id="rId1"/>
  <headerFooter>
    <oddFooter xml:space="preserve">&amp;C
</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rgb="FF00B0F0"/>
  </sheetPr>
  <dimension ref="A1:P39"/>
  <sheetViews>
    <sheetView view="pageLayout" zoomScale="80" zoomScalePageLayoutView="80" workbookViewId="0">
      <selection sqref="A1:XFD2"/>
    </sheetView>
  </sheetViews>
  <sheetFormatPr baseColWidth="10" defaultRowHeight="15" x14ac:dyDescent="0.25"/>
  <cols>
    <col min="1" max="1" width="11.42578125" style="113"/>
    <col min="2" max="2" width="7" customWidth="1"/>
    <col min="3" max="3" width="24.140625" customWidth="1"/>
  </cols>
  <sheetData>
    <row r="1" spans="2:16" s="113" customFormat="1" x14ac:dyDescent="0.25"/>
    <row r="2" spans="2:16" s="113" customFormat="1" x14ac:dyDescent="0.25"/>
    <row r="3" spans="2:16" s="113" customFormat="1" x14ac:dyDescent="0.25"/>
    <row r="4" spans="2:16" s="113" customFormat="1" x14ac:dyDescent="0.25"/>
    <row r="5" spans="2:16" s="113" customFormat="1" x14ac:dyDescent="0.25"/>
    <row r="6" spans="2:16" s="113" customFormat="1" x14ac:dyDescent="0.25"/>
    <row r="7" spans="2:16" s="113" customFormat="1" x14ac:dyDescent="0.25"/>
    <row r="8" spans="2:16" s="113" customFormat="1" x14ac:dyDescent="0.25"/>
    <row r="9" spans="2:16" x14ac:dyDescent="0.25">
      <c r="B9" s="1049" t="s">
        <v>313</v>
      </c>
      <c r="C9" s="1049"/>
      <c r="D9" s="1049"/>
      <c r="E9" s="1049"/>
      <c r="F9" s="1049"/>
      <c r="G9" s="1049"/>
      <c r="H9" s="1049"/>
      <c r="I9" s="1049"/>
      <c r="J9" s="1049"/>
      <c r="K9" s="1049"/>
      <c r="L9" s="1049"/>
      <c r="M9" s="1049"/>
      <c r="N9" s="1049"/>
      <c r="O9" s="1049"/>
      <c r="P9" s="1049"/>
    </row>
    <row r="10" spans="2:16" x14ac:dyDescent="0.25">
      <c r="B10" s="1049" t="s">
        <v>1423</v>
      </c>
      <c r="C10" s="1049"/>
      <c r="D10" s="1049"/>
      <c r="E10" s="1049"/>
      <c r="F10" s="1049"/>
      <c r="G10" s="1049"/>
      <c r="H10" s="1049"/>
      <c r="I10" s="1049"/>
      <c r="J10" s="1049"/>
      <c r="K10" s="1049"/>
      <c r="L10" s="1049"/>
      <c r="M10" s="1049"/>
      <c r="N10" s="1049"/>
      <c r="O10" s="1049"/>
      <c r="P10" s="1049"/>
    </row>
    <row r="11" spans="2:16" x14ac:dyDescent="0.25">
      <c r="B11" s="1050" t="s">
        <v>346</v>
      </c>
      <c r="C11" s="1050" t="s">
        <v>287</v>
      </c>
      <c r="D11" s="1048" t="s">
        <v>675</v>
      </c>
      <c r="E11" s="1048" t="s">
        <v>676</v>
      </c>
      <c r="F11" s="1048" t="s">
        <v>677</v>
      </c>
      <c r="G11" s="1048" t="s">
        <v>678</v>
      </c>
      <c r="H11" s="1048" t="s">
        <v>679</v>
      </c>
      <c r="I11" s="1048" t="s">
        <v>680</v>
      </c>
      <c r="J11" s="1048" t="s">
        <v>681</v>
      </c>
      <c r="K11" s="1048" t="s">
        <v>682</v>
      </c>
      <c r="L11" s="1048" t="s">
        <v>683</v>
      </c>
      <c r="M11" s="1048" t="s">
        <v>684</v>
      </c>
      <c r="N11" s="1048" t="s">
        <v>685</v>
      </c>
      <c r="O11" s="1048" t="s">
        <v>510</v>
      </c>
      <c r="P11" s="1053" t="s">
        <v>1460</v>
      </c>
    </row>
    <row r="12" spans="2:16" x14ac:dyDescent="0.25">
      <c r="B12" s="1051"/>
      <c r="C12" s="1051"/>
      <c r="D12" s="1048"/>
      <c r="E12" s="1048"/>
      <c r="F12" s="1048"/>
      <c r="G12" s="1048"/>
      <c r="H12" s="1048"/>
      <c r="I12" s="1048"/>
      <c r="J12" s="1048"/>
      <c r="K12" s="1048"/>
      <c r="L12" s="1048"/>
      <c r="M12" s="1048"/>
      <c r="N12" s="1048"/>
      <c r="O12" s="1048"/>
      <c r="P12" s="1054"/>
    </row>
    <row r="13" spans="2:16" x14ac:dyDescent="0.25">
      <c r="B13" s="1052"/>
      <c r="C13" s="1052"/>
      <c r="D13" s="1048"/>
      <c r="E13" s="1048"/>
      <c r="F13" s="1048"/>
      <c r="G13" s="1048"/>
      <c r="H13" s="1048"/>
      <c r="I13" s="1048"/>
      <c r="J13" s="1048"/>
      <c r="K13" s="1048"/>
      <c r="L13" s="1048"/>
      <c r="M13" s="1048"/>
      <c r="N13" s="1048"/>
      <c r="O13" s="1048"/>
      <c r="P13" s="1055"/>
    </row>
    <row r="14" spans="2:16" x14ac:dyDescent="0.25">
      <c r="B14" s="720">
        <v>1</v>
      </c>
      <c r="C14" s="21" t="s">
        <v>342</v>
      </c>
      <c r="D14" s="84">
        <v>301392</v>
      </c>
      <c r="E14" s="84">
        <v>301392</v>
      </c>
      <c r="F14" s="84">
        <v>75348</v>
      </c>
      <c r="G14" s="84">
        <v>0</v>
      </c>
      <c r="H14" s="84">
        <v>627900</v>
      </c>
      <c r="I14" s="84">
        <v>75348</v>
      </c>
      <c r="J14" s="84">
        <v>376740</v>
      </c>
      <c r="K14" s="84">
        <v>75348</v>
      </c>
      <c r="L14" s="84">
        <v>50232</v>
      </c>
      <c r="M14" s="84">
        <v>753480</v>
      </c>
      <c r="N14" s="84">
        <v>200928</v>
      </c>
      <c r="O14" s="84">
        <v>150696</v>
      </c>
      <c r="P14" s="84">
        <f>SUM(D14:O14)</f>
        <v>2988804</v>
      </c>
    </row>
    <row r="15" spans="2:16" x14ac:dyDescent="0.25">
      <c r="B15" s="720">
        <v>2</v>
      </c>
      <c r="C15" s="21" t="s">
        <v>261</v>
      </c>
      <c r="D15" s="84">
        <v>301392</v>
      </c>
      <c r="E15" s="84">
        <v>301392</v>
      </c>
      <c r="F15" s="84">
        <v>75348</v>
      </c>
      <c r="G15" s="84">
        <v>0</v>
      </c>
      <c r="H15" s="84">
        <v>627900</v>
      </c>
      <c r="I15" s="84">
        <v>75348</v>
      </c>
      <c r="J15" s="84">
        <v>376740</v>
      </c>
      <c r="K15" s="84">
        <v>75348</v>
      </c>
      <c r="L15" s="84">
        <v>50232</v>
      </c>
      <c r="M15" s="84">
        <v>753480</v>
      </c>
      <c r="N15" s="84">
        <v>200928</v>
      </c>
      <c r="O15" s="84">
        <v>150696</v>
      </c>
      <c r="P15" s="84">
        <f t="shared" ref="P15:P23" si="0">SUM(D15:O15)</f>
        <v>2988804</v>
      </c>
    </row>
    <row r="16" spans="2:16" x14ac:dyDescent="0.25">
      <c r="B16" s="720">
        <v>3</v>
      </c>
      <c r="C16" s="21" t="s">
        <v>265</v>
      </c>
      <c r="D16" s="84">
        <v>602784</v>
      </c>
      <c r="E16" s="84">
        <v>301392</v>
      </c>
      <c r="F16" s="84">
        <v>75348</v>
      </c>
      <c r="G16" s="84">
        <v>0</v>
      </c>
      <c r="H16" s="84">
        <v>0</v>
      </c>
      <c r="I16" s="84">
        <v>75348</v>
      </c>
      <c r="J16" s="84">
        <v>376740</v>
      </c>
      <c r="K16" s="84">
        <v>75348</v>
      </c>
      <c r="L16" s="84">
        <v>50232</v>
      </c>
      <c r="M16" s="84">
        <v>753480</v>
      </c>
      <c r="N16" s="84">
        <v>200928</v>
      </c>
      <c r="O16" s="84">
        <v>150696</v>
      </c>
      <c r="P16" s="84">
        <f t="shared" si="0"/>
        <v>2662296</v>
      </c>
    </row>
    <row r="17" spans="2:16" x14ac:dyDescent="0.25">
      <c r="B17" s="720">
        <v>4</v>
      </c>
      <c r="C17" s="21" t="s">
        <v>268</v>
      </c>
      <c r="D17" s="84">
        <v>602784</v>
      </c>
      <c r="E17" s="84">
        <v>301392</v>
      </c>
      <c r="F17" s="84">
        <v>75348</v>
      </c>
      <c r="G17" s="84">
        <v>753480</v>
      </c>
      <c r="H17" s="84">
        <v>0</v>
      </c>
      <c r="I17" s="84">
        <v>75348</v>
      </c>
      <c r="J17" s="84">
        <v>376740</v>
      </c>
      <c r="K17" s="84">
        <v>75348</v>
      </c>
      <c r="L17" s="84">
        <v>50232</v>
      </c>
      <c r="M17" s="84">
        <v>753480</v>
      </c>
      <c r="N17" s="84">
        <v>200928</v>
      </c>
      <c r="O17" s="84">
        <v>150696</v>
      </c>
      <c r="P17" s="84">
        <f t="shared" si="0"/>
        <v>3415776</v>
      </c>
    </row>
    <row r="18" spans="2:16" x14ac:dyDescent="0.25">
      <c r="B18" s="720">
        <v>5</v>
      </c>
      <c r="C18" s="21" t="s">
        <v>271</v>
      </c>
      <c r="D18" s="84">
        <v>602784</v>
      </c>
      <c r="E18" s="84">
        <v>301392</v>
      </c>
      <c r="F18" s="84">
        <v>75348</v>
      </c>
      <c r="G18" s="84">
        <v>753480</v>
      </c>
      <c r="H18" s="84">
        <v>0</v>
      </c>
      <c r="I18" s="84">
        <v>75348</v>
      </c>
      <c r="J18" s="84">
        <v>376740</v>
      </c>
      <c r="K18" s="84">
        <v>75348</v>
      </c>
      <c r="L18" s="84">
        <v>50232</v>
      </c>
      <c r="M18" s="84">
        <v>753480</v>
      </c>
      <c r="N18" s="84">
        <v>200928</v>
      </c>
      <c r="O18" s="84">
        <v>150696</v>
      </c>
      <c r="P18" s="84">
        <f t="shared" si="0"/>
        <v>3415776</v>
      </c>
    </row>
    <row r="19" spans="2:16" x14ac:dyDescent="0.25">
      <c r="B19" s="720">
        <v>6</v>
      </c>
      <c r="C19" s="21" t="s">
        <v>296</v>
      </c>
      <c r="D19" s="84">
        <v>602784</v>
      </c>
      <c r="E19" s="84">
        <v>301392</v>
      </c>
      <c r="F19" s="84">
        <v>75348</v>
      </c>
      <c r="G19" s="84">
        <v>0</v>
      </c>
      <c r="H19" s="84">
        <v>0</v>
      </c>
      <c r="I19" s="84">
        <v>75348</v>
      </c>
      <c r="J19" s="84">
        <v>376740</v>
      </c>
      <c r="K19" s="84">
        <v>75348</v>
      </c>
      <c r="L19" s="84">
        <v>50232</v>
      </c>
      <c r="M19" s="84">
        <v>753480</v>
      </c>
      <c r="N19" s="84">
        <v>200928</v>
      </c>
      <c r="O19" s="84">
        <v>150696</v>
      </c>
      <c r="P19" s="84">
        <f t="shared" si="0"/>
        <v>2662296</v>
      </c>
    </row>
    <row r="20" spans="2:16" x14ac:dyDescent="0.25">
      <c r="B20" s="720">
        <v>7</v>
      </c>
      <c r="C20" s="21" t="s">
        <v>277</v>
      </c>
      <c r="D20" s="84">
        <v>602784</v>
      </c>
      <c r="E20" s="84">
        <v>301392</v>
      </c>
      <c r="F20" s="84">
        <v>75348</v>
      </c>
      <c r="G20" s="84">
        <v>0</v>
      </c>
      <c r="H20" s="84">
        <v>0</v>
      </c>
      <c r="I20" s="84">
        <v>75348</v>
      </c>
      <c r="J20" s="84">
        <v>376740</v>
      </c>
      <c r="K20" s="84">
        <v>75348</v>
      </c>
      <c r="L20" s="84">
        <v>50232</v>
      </c>
      <c r="M20" s="84">
        <v>753480</v>
      </c>
      <c r="N20" s="84">
        <v>200928</v>
      </c>
      <c r="O20" s="84">
        <v>150696</v>
      </c>
      <c r="P20" s="84">
        <f t="shared" si="0"/>
        <v>2662296</v>
      </c>
    </row>
    <row r="21" spans="2:16" x14ac:dyDescent="0.25">
      <c r="B21" s="720">
        <v>8</v>
      </c>
      <c r="C21" s="21" t="s">
        <v>686</v>
      </c>
      <c r="D21" s="84">
        <v>602784</v>
      </c>
      <c r="E21" s="84">
        <v>301392</v>
      </c>
      <c r="F21" s="84">
        <v>75348</v>
      </c>
      <c r="G21" s="84">
        <v>753480</v>
      </c>
      <c r="H21" s="84">
        <v>0</v>
      </c>
      <c r="I21" s="84">
        <v>75348</v>
      </c>
      <c r="J21" s="84">
        <v>376740</v>
      </c>
      <c r="K21" s="84">
        <v>75348</v>
      </c>
      <c r="L21" s="84">
        <v>50232</v>
      </c>
      <c r="M21" s="84">
        <v>753480</v>
      </c>
      <c r="N21" s="84">
        <v>200928</v>
      </c>
      <c r="O21" s="84">
        <v>150696</v>
      </c>
      <c r="P21" s="84">
        <f t="shared" si="0"/>
        <v>3415776</v>
      </c>
    </row>
    <row r="22" spans="2:16" x14ac:dyDescent="0.25">
      <c r="B22" s="720">
        <v>9</v>
      </c>
      <c r="C22" s="21" t="s">
        <v>278</v>
      </c>
      <c r="D22" s="84">
        <v>602784</v>
      </c>
      <c r="E22" s="84">
        <v>301392</v>
      </c>
      <c r="F22" s="84">
        <v>75348</v>
      </c>
      <c r="G22" s="84">
        <v>0</v>
      </c>
      <c r="H22" s="84">
        <v>0</v>
      </c>
      <c r="I22" s="84">
        <v>75348</v>
      </c>
      <c r="J22" s="84">
        <v>376740</v>
      </c>
      <c r="K22" s="84">
        <v>75348</v>
      </c>
      <c r="L22" s="84">
        <v>50232</v>
      </c>
      <c r="M22" s="84">
        <v>753480</v>
      </c>
      <c r="N22" s="84">
        <v>200928</v>
      </c>
      <c r="O22" s="84">
        <v>150696</v>
      </c>
      <c r="P22" s="84">
        <f t="shared" si="0"/>
        <v>2662296</v>
      </c>
    </row>
    <row r="23" spans="2:16" x14ac:dyDescent="0.25">
      <c r="B23" s="720">
        <v>10</v>
      </c>
      <c r="C23" s="21" t="s">
        <v>513</v>
      </c>
      <c r="D23" s="84">
        <v>301392</v>
      </c>
      <c r="E23" s="84">
        <v>0</v>
      </c>
      <c r="F23" s="84">
        <v>0</v>
      </c>
      <c r="G23" s="84">
        <v>0</v>
      </c>
      <c r="H23" s="84">
        <v>0</v>
      </c>
      <c r="I23" s="84">
        <v>0</v>
      </c>
      <c r="J23" s="84">
        <v>0</v>
      </c>
      <c r="K23" s="84">
        <v>0</v>
      </c>
      <c r="L23" s="84">
        <v>0</v>
      </c>
      <c r="M23" s="718">
        <v>0</v>
      </c>
      <c r="N23" s="84">
        <v>0</v>
      </c>
      <c r="O23" s="84">
        <v>0</v>
      </c>
      <c r="P23" s="84">
        <f t="shared" si="0"/>
        <v>301392</v>
      </c>
    </row>
    <row r="24" spans="2:16" x14ac:dyDescent="0.25">
      <c r="B24" s="720"/>
      <c r="C24" s="719" t="s">
        <v>297</v>
      </c>
      <c r="D24" s="86">
        <f>SUM(D14:D23)</f>
        <v>5123664</v>
      </c>
      <c r="E24" s="86">
        <f t="shared" ref="E24:O24" si="1">SUM(E14:E23)</f>
        <v>2712528</v>
      </c>
      <c r="F24" s="86">
        <f t="shared" si="1"/>
        <v>678132</v>
      </c>
      <c r="G24" s="86">
        <f t="shared" si="1"/>
        <v>2260440</v>
      </c>
      <c r="H24" s="86">
        <f t="shared" si="1"/>
        <v>1255800</v>
      </c>
      <c r="I24" s="86">
        <f t="shared" si="1"/>
        <v>678132</v>
      </c>
      <c r="J24" s="86">
        <f t="shared" si="1"/>
        <v>3390660</v>
      </c>
      <c r="K24" s="86">
        <f t="shared" si="1"/>
        <v>678132</v>
      </c>
      <c r="L24" s="86">
        <f t="shared" si="1"/>
        <v>452088</v>
      </c>
      <c r="M24" s="85">
        <f t="shared" si="1"/>
        <v>6781320</v>
      </c>
      <c r="N24" s="86">
        <f t="shared" si="1"/>
        <v>1808352</v>
      </c>
      <c r="O24" s="86">
        <f t="shared" si="1"/>
        <v>1356264</v>
      </c>
      <c r="P24" s="86">
        <f>SUM(P14:P23)</f>
        <v>27175512</v>
      </c>
    </row>
    <row r="25" spans="2:16" x14ac:dyDescent="0.25">
      <c r="B25" s="2"/>
      <c r="C25" s="2"/>
      <c r="D25" s="80"/>
      <c r="E25" s="80"/>
      <c r="F25" s="80"/>
      <c r="G25" s="80"/>
      <c r="H25" s="80"/>
      <c r="I25" s="80"/>
      <c r="J25" s="80"/>
      <c r="K25" s="80"/>
      <c r="L25" s="80"/>
      <c r="M25" s="80"/>
      <c r="N25" s="1047" t="s">
        <v>161</v>
      </c>
      <c r="O25" s="1047"/>
      <c r="P25" s="86">
        <f>SUM(D24:O24)</f>
        <v>27175512</v>
      </c>
    </row>
    <row r="26" spans="2:16" x14ac:dyDescent="0.25">
      <c r="B26" s="2"/>
      <c r="C26" s="2"/>
      <c r="D26" s="80"/>
      <c r="E26" s="80"/>
      <c r="F26" s="80"/>
      <c r="G26" s="80"/>
      <c r="H26" s="80"/>
      <c r="I26" s="80"/>
      <c r="J26" s="80"/>
      <c r="K26" s="80"/>
      <c r="L26" s="80"/>
      <c r="M26" s="80"/>
      <c r="N26" s="1047" t="s">
        <v>583</v>
      </c>
      <c r="O26" s="1047"/>
      <c r="P26" s="86">
        <f>P25*0.7</f>
        <v>19022858.399999999</v>
      </c>
    </row>
    <row r="30" spans="2:16" x14ac:dyDescent="0.25">
      <c r="E30" s="113"/>
      <c r="F30" s="113"/>
      <c r="G30" s="113"/>
      <c r="H30" s="113"/>
      <c r="I30" s="113"/>
      <c r="J30" s="113"/>
      <c r="K30" s="113"/>
      <c r="L30" s="113"/>
      <c r="M30" s="113"/>
      <c r="N30" s="113"/>
      <c r="O30" s="113"/>
    </row>
    <row r="31" spans="2:16" x14ac:dyDescent="0.25">
      <c r="D31" s="113"/>
      <c r="E31" s="113"/>
      <c r="F31" s="113"/>
      <c r="G31" s="113"/>
      <c r="H31" s="113"/>
      <c r="I31" s="113"/>
      <c r="J31" s="113"/>
      <c r="K31" s="113"/>
      <c r="L31" s="113"/>
      <c r="M31" s="113"/>
      <c r="N31" s="113"/>
      <c r="O31" s="113"/>
    </row>
    <row r="32" spans="2:16" x14ac:dyDescent="0.25">
      <c r="D32" s="113"/>
      <c r="E32" s="113"/>
      <c r="F32" s="113"/>
      <c r="G32" s="113"/>
      <c r="H32" s="113"/>
      <c r="I32" s="113"/>
      <c r="J32" s="113"/>
      <c r="K32" s="113"/>
      <c r="L32" s="113"/>
      <c r="M32" s="113"/>
      <c r="N32" s="113"/>
      <c r="O32" s="113"/>
    </row>
    <row r="33" spans="4:15" x14ac:dyDescent="0.25">
      <c r="D33" s="113"/>
      <c r="E33" s="113"/>
      <c r="F33" s="113"/>
      <c r="G33" s="113"/>
      <c r="H33" s="113"/>
      <c r="I33" s="113"/>
      <c r="J33" s="113"/>
      <c r="K33" s="113"/>
      <c r="L33" s="113"/>
      <c r="M33" s="113"/>
      <c r="N33" s="113"/>
      <c r="O33" s="113"/>
    </row>
    <row r="34" spans="4:15" x14ac:dyDescent="0.25">
      <c r="D34" s="113"/>
      <c r="E34" s="113"/>
      <c r="F34" s="113"/>
      <c r="G34" s="113"/>
      <c r="H34" s="113"/>
      <c r="I34" s="113"/>
      <c r="J34" s="113"/>
      <c r="K34" s="113"/>
      <c r="L34" s="113"/>
      <c r="M34" s="113"/>
      <c r="N34" s="113"/>
      <c r="O34" s="113"/>
    </row>
    <row r="35" spans="4:15" x14ac:dyDescent="0.25">
      <c r="D35" s="113"/>
      <c r="E35" s="113"/>
      <c r="F35" s="113"/>
      <c r="G35" s="113"/>
      <c r="H35" s="113"/>
      <c r="I35" s="113"/>
      <c r="J35" s="113"/>
      <c r="K35" s="113"/>
      <c r="L35" s="113"/>
      <c r="M35" s="113"/>
      <c r="N35" s="113"/>
      <c r="O35" s="113"/>
    </row>
    <row r="36" spans="4:15" x14ac:dyDescent="0.25">
      <c r="D36" s="113"/>
      <c r="E36" s="113"/>
      <c r="F36" s="113"/>
      <c r="G36" s="113"/>
      <c r="H36" s="113"/>
      <c r="I36" s="113"/>
      <c r="J36" s="113"/>
      <c r="K36" s="113"/>
      <c r="L36" s="113"/>
      <c r="M36" s="113"/>
      <c r="N36" s="113"/>
      <c r="O36" s="113"/>
    </row>
    <row r="37" spans="4:15" x14ac:dyDescent="0.25">
      <c r="D37" s="113"/>
      <c r="E37" s="113"/>
      <c r="F37" s="113"/>
      <c r="G37" s="113"/>
      <c r="H37" s="113"/>
      <c r="I37" s="113"/>
      <c r="J37" s="113"/>
      <c r="K37" s="113"/>
      <c r="L37" s="113"/>
      <c r="M37" s="113"/>
      <c r="N37" s="113"/>
      <c r="O37" s="113"/>
    </row>
    <row r="38" spans="4:15" x14ac:dyDescent="0.25">
      <c r="D38" s="113"/>
      <c r="E38" s="113"/>
      <c r="F38" s="113"/>
      <c r="G38" s="113"/>
      <c r="H38" s="113"/>
      <c r="I38" s="113"/>
      <c r="J38" s="113"/>
      <c r="K38" s="113"/>
      <c r="L38" s="113"/>
      <c r="M38" s="113"/>
      <c r="N38" s="113"/>
      <c r="O38" s="113"/>
    </row>
    <row r="39" spans="4:15" x14ac:dyDescent="0.25">
      <c r="D39" s="113"/>
      <c r="E39" s="113"/>
      <c r="F39" s="113"/>
      <c r="G39" s="113"/>
      <c r="H39" s="113"/>
      <c r="I39" s="113"/>
      <c r="J39" s="113"/>
      <c r="K39" s="113"/>
      <c r="L39" s="113"/>
      <c r="M39" s="113"/>
      <c r="N39" s="113"/>
      <c r="O39" s="113"/>
    </row>
  </sheetData>
  <mergeCells count="19">
    <mergeCell ref="B9:P9"/>
    <mergeCell ref="B10:P10"/>
    <mergeCell ref="D11:D13"/>
    <mergeCell ref="E11:E13"/>
    <mergeCell ref="F11:F13"/>
    <mergeCell ref="G11:G13"/>
    <mergeCell ref="H11:H13"/>
    <mergeCell ref="I11:I13"/>
    <mergeCell ref="J11:J13"/>
    <mergeCell ref="K11:K13"/>
    <mergeCell ref="B11:B13"/>
    <mergeCell ref="C11:C13"/>
    <mergeCell ref="P11:P13"/>
    <mergeCell ref="N26:O26"/>
    <mergeCell ref="L11:L13"/>
    <mergeCell ref="M11:M13"/>
    <mergeCell ref="N11:N13"/>
    <mergeCell ref="O11:O13"/>
    <mergeCell ref="N25:O25"/>
  </mergeCells>
  <pageMargins left="0.7" right="0.7" top="0.75" bottom="0.75" header="0.3" footer="0.3"/>
  <pageSetup paperSize="5" scale="8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rgb="FF00B0F0"/>
  </sheetPr>
  <dimension ref="A1:L27"/>
  <sheetViews>
    <sheetView view="pageLayout" workbookViewId="0">
      <selection activeCell="C5" sqref="C5"/>
    </sheetView>
  </sheetViews>
  <sheetFormatPr baseColWidth="10" defaultRowHeight="15" x14ac:dyDescent="0.25"/>
  <cols>
    <col min="1" max="1" width="11.42578125" style="113"/>
    <col min="2" max="2" width="3.42578125" bestFit="1" customWidth="1"/>
    <col min="3" max="3" width="22.42578125" customWidth="1"/>
    <col min="4" max="4" width="9" bestFit="1" customWidth="1"/>
    <col min="5" max="5" width="11.140625" customWidth="1"/>
    <col min="6" max="6" width="11.85546875" bestFit="1" customWidth="1"/>
    <col min="7" max="7" width="10.140625" customWidth="1"/>
    <col min="8" max="8" width="9.7109375" customWidth="1"/>
    <col min="9" max="9" width="8.85546875" customWidth="1"/>
    <col min="10" max="10" width="11.28515625" customWidth="1"/>
    <col min="11" max="11" width="16.28515625" customWidth="1"/>
    <col min="12" max="12" width="11.140625" customWidth="1"/>
  </cols>
  <sheetData>
    <row r="1" spans="2:12" s="113" customFormat="1" x14ac:dyDescent="0.25"/>
    <row r="2" spans="2:12" s="113" customFormat="1" x14ac:dyDescent="0.25"/>
    <row r="3" spans="2:12" s="113" customFormat="1" x14ac:dyDescent="0.25"/>
    <row r="4" spans="2:12" s="113" customFormat="1" x14ac:dyDescent="0.25"/>
    <row r="5" spans="2:12" s="113" customFormat="1" x14ac:dyDescent="0.25"/>
    <row r="6" spans="2:12" s="113" customFormat="1" x14ac:dyDescent="0.25"/>
    <row r="7" spans="2:12" x14ac:dyDescent="0.25">
      <c r="B7" s="934" t="s">
        <v>687</v>
      </c>
      <c r="C7" s="948"/>
      <c r="D7" s="948"/>
      <c r="E7" s="948"/>
      <c r="F7" s="948"/>
      <c r="G7" s="948"/>
      <c r="H7" s="948"/>
      <c r="I7" s="948"/>
      <c r="J7" s="948"/>
      <c r="K7" s="948"/>
      <c r="L7" s="935"/>
    </row>
    <row r="8" spans="2:12" x14ac:dyDescent="0.25">
      <c r="B8" s="944" t="s">
        <v>1424</v>
      </c>
      <c r="C8" s="944"/>
      <c r="D8" s="944"/>
      <c r="E8" s="944"/>
      <c r="F8" s="944"/>
      <c r="G8" s="944"/>
      <c r="H8" s="944"/>
      <c r="I8" s="944"/>
      <c r="J8" s="944"/>
      <c r="K8" s="944"/>
      <c r="L8" s="944"/>
    </row>
    <row r="9" spans="2:12" x14ac:dyDescent="0.25">
      <c r="B9" s="967" t="s">
        <v>305</v>
      </c>
      <c r="C9" s="967" t="s">
        <v>287</v>
      </c>
      <c r="D9" s="1056" t="s">
        <v>694</v>
      </c>
      <c r="E9" s="1056" t="s">
        <v>688</v>
      </c>
      <c r="F9" s="1056" t="s">
        <v>483</v>
      </c>
      <c r="G9" s="1056" t="s">
        <v>476</v>
      </c>
      <c r="H9" s="1056" t="s">
        <v>689</v>
      </c>
      <c r="I9" s="1056" t="s">
        <v>690</v>
      </c>
      <c r="J9" s="1056" t="s">
        <v>691</v>
      </c>
      <c r="K9" s="1056" t="s">
        <v>692</v>
      </c>
      <c r="L9" s="615" t="s">
        <v>454</v>
      </c>
    </row>
    <row r="10" spans="2:12" x14ac:dyDescent="0.25">
      <c r="B10" s="967"/>
      <c r="C10" s="967"/>
      <c r="D10" s="1056"/>
      <c r="E10" s="1056"/>
      <c r="F10" s="1056"/>
      <c r="G10" s="1056"/>
      <c r="H10" s="1056"/>
      <c r="I10" s="1056"/>
      <c r="J10" s="1056"/>
      <c r="K10" s="1056"/>
      <c r="L10" s="967" t="s">
        <v>582</v>
      </c>
    </row>
    <row r="11" spans="2:12" x14ac:dyDescent="0.25">
      <c r="B11" s="967"/>
      <c r="C11" s="967"/>
      <c r="D11" s="1056"/>
      <c r="E11" s="1056"/>
      <c r="F11" s="1056"/>
      <c r="G11" s="1056"/>
      <c r="H11" s="1056"/>
      <c r="I11" s="1056"/>
      <c r="J11" s="1056"/>
      <c r="K11" s="1056"/>
      <c r="L11" s="967"/>
    </row>
    <row r="12" spans="2:12" x14ac:dyDescent="0.25">
      <c r="B12" s="244">
        <v>1</v>
      </c>
      <c r="C12" s="254" t="s">
        <v>342</v>
      </c>
      <c r="D12" s="616">
        <v>0</v>
      </c>
      <c r="E12" s="616">
        <v>0</v>
      </c>
      <c r="F12" s="563">
        <v>1088359.6500000001</v>
      </c>
      <c r="G12" s="616">
        <v>0</v>
      </c>
      <c r="H12" s="563">
        <v>326507.65000000002</v>
      </c>
      <c r="I12" s="616">
        <v>0</v>
      </c>
      <c r="J12" s="616">
        <v>0</v>
      </c>
      <c r="K12" s="616">
        <v>0</v>
      </c>
      <c r="L12" s="219">
        <f t="shared" ref="L12:L17" si="0">SUM(D12:K12)</f>
        <v>1414867.3000000003</v>
      </c>
    </row>
    <row r="13" spans="2:12" x14ac:dyDescent="0.25">
      <c r="B13" s="244">
        <v>2</v>
      </c>
      <c r="C13" s="254" t="s">
        <v>357</v>
      </c>
      <c r="D13" s="616">
        <v>0</v>
      </c>
      <c r="E13" s="616">
        <v>0</v>
      </c>
      <c r="F13" s="563">
        <v>1088359.6500000001</v>
      </c>
      <c r="G13" s="616">
        <v>0</v>
      </c>
      <c r="H13" s="563">
        <v>326507.65000000002</v>
      </c>
      <c r="I13" s="616">
        <v>0</v>
      </c>
      <c r="J13" s="616">
        <v>0</v>
      </c>
      <c r="K13" s="616">
        <v>0</v>
      </c>
      <c r="L13" s="219">
        <f t="shared" si="0"/>
        <v>1414867.3000000003</v>
      </c>
    </row>
    <row r="14" spans="2:12" x14ac:dyDescent="0.25">
      <c r="B14" s="244">
        <v>3</v>
      </c>
      <c r="C14" s="254" t="s">
        <v>278</v>
      </c>
      <c r="D14" s="563">
        <v>163254</v>
      </c>
      <c r="E14" s="563">
        <v>272090</v>
      </c>
      <c r="F14" s="563">
        <v>1088359.6500000001</v>
      </c>
      <c r="G14" s="563">
        <v>217672</v>
      </c>
      <c r="H14" s="563">
        <v>326507.65000000002</v>
      </c>
      <c r="I14" s="563">
        <v>599508</v>
      </c>
      <c r="J14" s="563">
        <v>224815.5</v>
      </c>
      <c r="K14" s="563">
        <v>337223.25</v>
      </c>
      <c r="L14" s="219">
        <f t="shared" si="0"/>
        <v>3229430.0500000003</v>
      </c>
    </row>
    <row r="15" spans="2:12" x14ac:dyDescent="0.25">
      <c r="B15" s="244">
        <v>4</v>
      </c>
      <c r="C15" s="254" t="s">
        <v>276</v>
      </c>
      <c r="D15" s="563">
        <v>0</v>
      </c>
      <c r="E15" s="563">
        <v>0</v>
      </c>
      <c r="F15" s="563">
        <v>1088359.6500000001</v>
      </c>
      <c r="G15" s="563">
        <v>0</v>
      </c>
      <c r="H15" s="563">
        <v>326507.65000000002</v>
      </c>
      <c r="I15" s="563">
        <v>0</v>
      </c>
      <c r="J15" s="563">
        <v>224815.5</v>
      </c>
      <c r="K15" s="563">
        <v>0</v>
      </c>
      <c r="L15" s="281">
        <f t="shared" si="0"/>
        <v>1639682.8000000003</v>
      </c>
    </row>
    <row r="16" spans="2:12" x14ac:dyDescent="0.25">
      <c r="B16" s="244">
        <v>5</v>
      </c>
      <c r="C16" s="254" t="s">
        <v>265</v>
      </c>
      <c r="D16" s="563">
        <v>0</v>
      </c>
      <c r="E16" s="563">
        <v>0</v>
      </c>
      <c r="F16" s="563">
        <v>1088359.6500000001</v>
      </c>
      <c r="G16" s="563">
        <v>0</v>
      </c>
      <c r="H16" s="563">
        <v>326507.65000000002</v>
      </c>
      <c r="I16" s="563">
        <v>599508</v>
      </c>
      <c r="J16" s="563">
        <v>224815.5</v>
      </c>
      <c r="K16" s="563">
        <v>0</v>
      </c>
      <c r="L16" s="219">
        <f t="shared" si="0"/>
        <v>2239190.8000000003</v>
      </c>
    </row>
    <row r="17" spans="2:12" x14ac:dyDescent="0.25">
      <c r="B17" s="244">
        <v>6</v>
      </c>
      <c r="C17" s="254" t="s">
        <v>693</v>
      </c>
      <c r="D17" s="563">
        <v>0</v>
      </c>
      <c r="E17" s="563">
        <v>0</v>
      </c>
      <c r="F17" s="563">
        <v>1088359.6500000001</v>
      </c>
      <c r="G17" s="563">
        <v>0</v>
      </c>
      <c r="H17" s="563">
        <v>326507.65000000002</v>
      </c>
      <c r="I17" s="563">
        <v>599508</v>
      </c>
      <c r="J17" s="563">
        <v>224815.5</v>
      </c>
      <c r="K17" s="563">
        <v>0</v>
      </c>
      <c r="L17" s="219">
        <f t="shared" si="0"/>
        <v>2239190.8000000003</v>
      </c>
    </row>
    <row r="18" spans="2:12" x14ac:dyDescent="0.25">
      <c r="B18" s="280"/>
      <c r="C18" s="279" t="s">
        <v>297</v>
      </c>
      <c r="D18" s="224">
        <f t="shared" ref="D18:L18" si="1">SUM(D12:D17)</f>
        <v>163254</v>
      </c>
      <c r="E18" s="224">
        <f t="shared" si="1"/>
        <v>272090</v>
      </c>
      <c r="F18" s="224">
        <f t="shared" si="1"/>
        <v>6530157.9000000013</v>
      </c>
      <c r="G18" s="224">
        <f t="shared" si="1"/>
        <v>217672</v>
      </c>
      <c r="H18" s="224">
        <f t="shared" si="1"/>
        <v>1959045.9</v>
      </c>
      <c r="I18" s="224">
        <f t="shared" si="1"/>
        <v>1798524</v>
      </c>
      <c r="J18" s="233">
        <f t="shared" si="1"/>
        <v>899262</v>
      </c>
      <c r="K18" s="224">
        <f t="shared" si="1"/>
        <v>337223.25</v>
      </c>
      <c r="L18" s="224">
        <f t="shared" si="1"/>
        <v>12177229.050000003</v>
      </c>
    </row>
    <row r="19" spans="2:12" x14ac:dyDescent="0.25">
      <c r="B19" s="722"/>
      <c r="C19" s="722"/>
      <c r="D19" s="723"/>
      <c r="E19" s="723"/>
      <c r="F19" s="723"/>
      <c r="G19" s="723"/>
      <c r="H19" s="723"/>
      <c r="I19" s="723"/>
      <c r="J19" s="723"/>
      <c r="K19" s="613" t="s">
        <v>161</v>
      </c>
      <c r="L19" s="224">
        <f>SUM(D18:K18)</f>
        <v>12177229.050000001</v>
      </c>
    </row>
    <row r="20" spans="2:12" x14ac:dyDescent="0.25">
      <c r="B20" s="722"/>
      <c r="C20" s="722"/>
      <c r="D20" s="723"/>
      <c r="E20" s="723"/>
      <c r="F20" s="723"/>
      <c r="G20" s="723"/>
      <c r="H20" s="723"/>
      <c r="I20" s="723"/>
      <c r="J20" s="723"/>
      <c r="K20" s="613" t="s">
        <v>583</v>
      </c>
      <c r="L20" s="224">
        <f>L19*0.7</f>
        <v>8524060.3350000009</v>
      </c>
    </row>
    <row r="22" spans="2:12" x14ac:dyDescent="0.25">
      <c r="E22" s="113"/>
      <c r="F22" s="113"/>
      <c r="G22" s="113"/>
      <c r="H22" s="113"/>
      <c r="I22" s="113"/>
      <c r="J22" s="113"/>
      <c r="K22" s="113"/>
    </row>
    <row r="23" spans="2:12" x14ac:dyDescent="0.25">
      <c r="D23" s="113"/>
      <c r="E23" s="113"/>
      <c r="F23" s="113"/>
      <c r="G23" s="113"/>
      <c r="H23" s="113"/>
      <c r="I23" s="113"/>
      <c r="J23" s="113"/>
      <c r="K23" s="113"/>
    </row>
    <row r="24" spans="2:12" x14ac:dyDescent="0.25">
      <c r="D24" s="113"/>
      <c r="E24" s="113"/>
      <c r="F24" s="113"/>
      <c r="G24" s="113"/>
      <c r="H24" s="113"/>
      <c r="I24" s="113"/>
      <c r="J24" s="113"/>
      <c r="K24" s="113"/>
    </row>
    <row r="25" spans="2:12" x14ac:dyDescent="0.25">
      <c r="D25" s="113"/>
      <c r="E25" s="113"/>
      <c r="F25" s="113"/>
      <c r="G25" s="113"/>
      <c r="H25" s="113"/>
      <c r="I25" s="113"/>
      <c r="J25" s="113"/>
      <c r="K25" s="113"/>
    </row>
    <row r="26" spans="2:12" x14ac:dyDescent="0.25">
      <c r="D26" s="113"/>
      <c r="E26" s="113"/>
      <c r="F26" s="113"/>
      <c r="G26" s="113"/>
      <c r="H26" s="113"/>
      <c r="I26" s="113"/>
      <c r="J26" s="113"/>
      <c r="K26" s="113"/>
    </row>
    <row r="27" spans="2:12" x14ac:dyDescent="0.25">
      <c r="D27" s="113"/>
      <c r="E27" s="113"/>
      <c r="F27" s="113"/>
      <c r="G27" s="113"/>
      <c r="H27" s="113"/>
      <c r="I27" s="113"/>
      <c r="J27" s="113"/>
      <c r="K27" s="113"/>
    </row>
  </sheetData>
  <mergeCells count="13">
    <mergeCell ref="B7:L7"/>
    <mergeCell ref="J9:J11"/>
    <mergeCell ref="K9:K11"/>
    <mergeCell ref="L10:L11"/>
    <mergeCell ref="B8:L8"/>
    <mergeCell ref="B9:B11"/>
    <mergeCell ref="C9:C11"/>
    <mergeCell ref="D9:D11"/>
    <mergeCell ref="E9:E11"/>
    <mergeCell ref="F9:F11"/>
    <mergeCell ref="G9:G11"/>
    <mergeCell ref="H9:H11"/>
    <mergeCell ref="I9:I11"/>
  </mergeCells>
  <pageMargins left="0.7" right="0.7" top="0.75" bottom="0.75" header="0.3" footer="0.3"/>
  <pageSetup paperSize="5" orientation="landscape" r:id="rId1"/>
  <headerFooter>
    <oddFooter xml:space="preserve">&amp;C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tabColor rgb="FF00B0F0"/>
  </sheetPr>
  <dimension ref="A7:F19"/>
  <sheetViews>
    <sheetView view="pageLayout" workbookViewId="0">
      <selection activeCell="F37" sqref="F37"/>
    </sheetView>
  </sheetViews>
  <sheetFormatPr baseColWidth="10" defaultRowHeight="12" x14ac:dyDescent="0.2"/>
  <cols>
    <col min="1" max="1" width="7.5703125" style="724" customWidth="1"/>
    <col min="2" max="2" width="24.7109375" style="158" customWidth="1"/>
    <col min="3" max="3" width="13" style="158" bestFit="1" customWidth="1"/>
    <col min="4" max="4" width="15" style="158" customWidth="1"/>
    <col min="5" max="5" width="15.42578125" style="158" bestFit="1" customWidth="1"/>
    <col min="6" max="6" width="22.28515625" style="158" customWidth="1"/>
    <col min="7" max="16384" width="11.42578125" style="158"/>
  </cols>
  <sheetData>
    <row r="7" spans="1:6" x14ac:dyDescent="0.2">
      <c r="A7" s="944" t="s">
        <v>687</v>
      </c>
      <c r="B7" s="944"/>
      <c r="C7" s="944"/>
      <c r="D7" s="944"/>
      <c r="E7" s="944"/>
      <c r="F7" s="944"/>
    </row>
    <row r="8" spans="1:6" ht="29.25" customHeight="1" x14ac:dyDescent="0.2">
      <c r="A8" s="945" t="s">
        <v>1425</v>
      </c>
      <c r="B8" s="946"/>
      <c r="C8" s="946"/>
      <c r="D8" s="946"/>
      <c r="E8" s="946"/>
      <c r="F8" s="947"/>
    </row>
    <row r="9" spans="1:6" x14ac:dyDescent="0.2">
      <c r="A9" s="942" t="s">
        <v>346</v>
      </c>
      <c r="B9" s="1044" t="s">
        <v>287</v>
      </c>
      <c r="C9" s="967" t="s">
        <v>695</v>
      </c>
      <c r="D9" s="967" t="s">
        <v>509</v>
      </c>
      <c r="E9" s="967" t="s">
        <v>696</v>
      </c>
      <c r="F9" s="942" t="s">
        <v>1460</v>
      </c>
    </row>
    <row r="10" spans="1:6" x14ac:dyDescent="0.2">
      <c r="A10" s="1057"/>
      <c r="B10" s="1058"/>
      <c r="C10" s="967"/>
      <c r="D10" s="967"/>
      <c r="E10" s="967"/>
      <c r="F10" s="1057"/>
    </row>
    <row r="11" spans="1:6" x14ac:dyDescent="0.2">
      <c r="A11" s="943"/>
      <c r="B11" s="1045"/>
      <c r="C11" s="967"/>
      <c r="D11" s="967"/>
      <c r="E11" s="967"/>
      <c r="F11" s="943"/>
    </row>
    <row r="12" spans="1:6" x14ac:dyDescent="0.2">
      <c r="A12" s="230">
        <v>1</v>
      </c>
      <c r="B12" s="254" t="s">
        <v>265</v>
      </c>
      <c r="C12" s="219">
        <v>0</v>
      </c>
      <c r="D12" s="219">
        <v>2600000</v>
      </c>
      <c r="E12" s="219">
        <v>0</v>
      </c>
      <c r="F12" s="219">
        <f>SUM(C12:E12)</f>
        <v>2600000</v>
      </c>
    </row>
    <row r="13" spans="1:6" x14ac:dyDescent="0.2">
      <c r="A13" s="230">
        <v>2</v>
      </c>
      <c r="B13" s="254" t="s">
        <v>296</v>
      </c>
      <c r="C13" s="219">
        <v>0</v>
      </c>
      <c r="D13" s="219">
        <v>2600000</v>
      </c>
      <c r="E13" s="219">
        <v>4680000</v>
      </c>
      <c r="F13" s="219">
        <f>SUM(C13:E13)</f>
        <v>7280000</v>
      </c>
    </row>
    <row r="14" spans="1:6" x14ac:dyDescent="0.2">
      <c r="A14" s="230">
        <v>3</v>
      </c>
      <c r="B14" s="254" t="s">
        <v>277</v>
      </c>
      <c r="C14" s="219">
        <v>0</v>
      </c>
      <c r="D14" s="219">
        <v>0</v>
      </c>
      <c r="E14" s="219">
        <v>0</v>
      </c>
      <c r="F14" s="219">
        <v>0</v>
      </c>
    </row>
    <row r="15" spans="1:6" x14ac:dyDescent="0.2">
      <c r="A15" s="230">
        <v>4</v>
      </c>
      <c r="B15" s="254" t="s">
        <v>278</v>
      </c>
      <c r="C15" s="219">
        <v>3120000</v>
      </c>
      <c r="D15" s="219">
        <v>0</v>
      </c>
      <c r="E15" s="219">
        <v>4680000</v>
      </c>
      <c r="F15" s="219">
        <f>SUM(C15:E15)</f>
        <v>7800000</v>
      </c>
    </row>
    <row r="16" spans="1:6" x14ac:dyDescent="0.2">
      <c r="A16" s="967" t="s">
        <v>297</v>
      </c>
      <c r="B16" s="967"/>
      <c r="C16" s="219">
        <f>SUM(C12:C15)</f>
        <v>3120000</v>
      </c>
      <c r="D16" s="233">
        <f>SUM(D12:D15)</f>
        <v>5200000</v>
      </c>
      <c r="E16" s="224">
        <f>SUM(E12:E15)</f>
        <v>9360000</v>
      </c>
      <c r="F16" s="224">
        <f>SUM(C16:E16)</f>
        <v>17680000</v>
      </c>
    </row>
    <row r="17" spans="1:6" x14ac:dyDescent="0.2">
      <c r="A17" s="725"/>
      <c r="B17" s="722"/>
      <c r="C17" s="723"/>
      <c r="D17" s="723"/>
      <c r="E17" s="613" t="s">
        <v>161</v>
      </c>
      <c r="F17" s="224">
        <f>SUM(C16:E16)</f>
        <v>17680000</v>
      </c>
    </row>
    <row r="18" spans="1:6" x14ac:dyDescent="0.2">
      <c r="A18" s="725"/>
      <c r="B18" s="722"/>
      <c r="C18" s="723"/>
      <c r="D18" s="723"/>
      <c r="E18" s="613" t="s">
        <v>583</v>
      </c>
      <c r="F18" s="224">
        <f>F17*0.7</f>
        <v>12376000</v>
      </c>
    </row>
    <row r="19" spans="1:6" x14ac:dyDescent="0.2">
      <c r="A19" s="236"/>
      <c r="B19" s="159"/>
      <c r="C19" s="159"/>
      <c r="D19" s="159"/>
      <c r="E19" s="159"/>
      <c r="F19" s="159"/>
    </row>
  </sheetData>
  <mergeCells count="9">
    <mergeCell ref="A16:B16"/>
    <mergeCell ref="A7:F7"/>
    <mergeCell ref="A8:F8"/>
    <mergeCell ref="C9:C11"/>
    <mergeCell ref="D9:D11"/>
    <mergeCell ref="E9:E11"/>
    <mergeCell ref="A9:A11"/>
    <mergeCell ref="B9:B11"/>
    <mergeCell ref="F9:F11"/>
  </mergeCells>
  <printOptions horizontalCentered="1"/>
  <pageMargins left="0.7" right="0.7" top="0.75" bottom="0.75" header="0.3" footer="0.3"/>
  <pageSetup paperSize="5"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rgb="FF00B0F0"/>
  </sheetPr>
  <dimension ref="A1:G24"/>
  <sheetViews>
    <sheetView view="pageLayout" workbookViewId="0">
      <selection activeCell="D13" sqref="D13"/>
    </sheetView>
  </sheetViews>
  <sheetFormatPr baseColWidth="10" defaultRowHeight="15" x14ac:dyDescent="0.25"/>
  <cols>
    <col min="1" max="1" width="11.42578125" style="113"/>
    <col min="2" max="2" width="11.42578125" style="262"/>
    <col min="3" max="3" width="33.7109375" customWidth="1"/>
    <col min="4" max="4" width="13.7109375" bestFit="1" customWidth="1"/>
    <col min="5" max="5" width="14.28515625" bestFit="1" customWidth="1"/>
    <col min="6" max="6" width="17.85546875" bestFit="1" customWidth="1"/>
    <col min="7" max="7" width="13" bestFit="1" customWidth="1"/>
  </cols>
  <sheetData>
    <row r="1" spans="2:7" s="113" customFormat="1" x14ac:dyDescent="0.25">
      <c r="B1" s="262"/>
    </row>
    <row r="2" spans="2:7" s="113" customFormat="1" x14ac:dyDescent="0.25">
      <c r="B2" s="262"/>
    </row>
    <row r="3" spans="2:7" s="113" customFormat="1" x14ac:dyDescent="0.25">
      <c r="B3" s="262"/>
    </row>
    <row r="4" spans="2:7" s="113" customFormat="1" x14ac:dyDescent="0.25">
      <c r="B4" s="262"/>
    </row>
    <row r="5" spans="2:7" x14ac:dyDescent="0.25">
      <c r="B5" s="1049" t="s">
        <v>687</v>
      </c>
      <c r="C5" s="1049"/>
      <c r="D5" s="1049"/>
      <c r="E5" s="1049"/>
      <c r="F5" s="1049"/>
      <c r="G5" s="1049"/>
    </row>
    <row r="6" spans="2:7" x14ac:dyDescent="0.25">
      <c r="B6" s="1049" t="s">
        <v>1426</v>
      </c>
      <c r="C6" s="1049"/>
      <c r="D6" s="1049"/>
      <c r="E6" s="1049"/>
      <c r="F6" s="1049"/>
      <c r="G6" s="1049"/>
    </row>
    <row r="7" spans="2:7" x14ac:dyDescent="0.25">
      <c r="B7" s="1059" t="s">
        <v>346</v>
      </c>
      <c r="C7" s="1059" t="s">
        <v>287</v>
      </c>
      <c r="D7" s="1061" t="s">
        <v>697</v>
      </c>
      <c r="E7" s="1061" t="s">
        <v>698</v>
      </c>
      <c r="F7" s="1061" t="s">
        <v>699</v>
      </c>
      <c r="G7" s="1061" t="s">
        <v>180</v>
      </c>
    </row>
    <row r="8" spans="2:7" x14ac:dyDescent="0.25">
      <c r="B8" s="1060"/>
      <c r="C8" s="1060"/>
      <c r="D8" s="1062"/>
      <c r="E8" s="1062"/>
      <c r="F8" s="1063"/>
      <c r="G8" s="1063"/>
    </row>
    <row r="9" spans="2:7" ht="19.7" customHeight="1" x14ac:dyDescent="0.25">
      <c r="B9" s="721">
        <v>1</v>
      </c>
      <c r="C9" s="21" t="s">
        <v>265</v>
      </c>
      <c r="D9" s="84">
        <v>3120000</v>
      </c>
      <c r="E9" s="84">
        <v>3120000</v>
      </c>
      <c r="F9" s="84">
        <v>2600000</v>
      </c>
      <c r="G9" s="84">
        <f t="shared" ref="G9:G15" si="0">SUM(D9:F9)</f>
        <v>8840000</v>
      </c>
    </row>
    <row r="10" spans="2:7" ht="19.7" customHeight="1" x14ac:dyDescent="0.25">
      <c r="B10" s="721">
        <v>2</v>
      </c>
      <c r="C10" s="21" t="s">
        <v>315</v>
      </c>
      <c r="D10" s="84">
        <v>3120000</v>
      </c>
      <c r="E10" s="84">
        <v>3120000</v>
      </c>
      <c r="F10" s="84">
        <v>2600000</v>
      </c>
      <c r="G10" s="84">
        <f t="shared" si="0"/>
        <v>8840000</v>
      </c>
    </row>
    <row r="11" spans="2:7" ht="19.7" customHeight="1" x14ac:dyDescent="0.25">
      <c r="B11" s="721">
        <v>3</v>
      </c>
      <c r="C11" s="21" t="s">
        <v>700</v>
      </c>
      <c r="D11" s="84">
        <v>3120000</v>
      </c>
      <c r="E11" s="84">
        <v>3120000</v>
      </c>
      <c r="F11" s="84">
        <v>2600000</v>
      </c>
      <c r="G11" s="84">
        <f t="shared" si="0"/>
        <v>8840000</v>
      </c>
    </row>
    <row r="12" spans="2:7" ht="19.7" customHeight="1" x14ac:dyDescent="0.25">
      <c r="B12" s="721">
        <v>4</v>
      </c>
      <c r="C12" s="21" t="s">
        <v>296</v>
      </c>
      <c r="D12" s="84">
        <v>3120000</v>
      </c>
      <c r="E12" s="84">
        <v>3120000</v>
      </c>
      <c r="F12" s="84">
        <v>2600000</v>
      </c>
      <c r="G12" s="84">
        <f t="shared" si="0"/>
        <v>8840000</v>
      </c>
    </row>
    <row r="13" spans="2:7" ht="19.7" customHeight="1" x14ac:dyDescent="0.25">
      <c r="B13" s="721">
        <v>5</v>
      </c>
      <c r="C13" s="21" t="s">
        <v>278</v>
      </c>
      <c r="D13" s="84">
        <v>3120000</v>
      </c>
      <c r="E13" s="84">
        <v>3120000</v>
      </c>
      <c r="F13" s="84">
        <v>2600000</v>
      </c>
      <c r="G13" s="84">
        <f t="shared" si="0"/>
        <v>8840000</v>
      </c>
    </row>
    <row r="14" spans="2:7" ht="19.7" customHeight="1" x14ac:dyDescent="0.25">
      <c r="B14" s="721">
        <v>6</v>
      </c>
      <c r="C14" s="21" t="s">
        <v>701</v>
      </c>
      <c r="D14" s="84">
        <v>3120000</v>
      </c>
      <c r="E14" s="84">
        <v>3120000</v>
      </c>
      <c r="F14" s="84">
        <v>2600000</v>
      </c>
      <c r="G14" s="84">
        <f t="shared" si="0"/>
        <v>8840000</v>
      </c>
    </row>
    <row r="15" spans="2:7" ht="19.7" customHeight="1" x14ac:dyDescent="0.25">
      <c r="B15" s="847" t="s">
        <v>297</v>
      </c>
      <c r="C15" s="847"/>
      <c r="D15" s="86">
        <f>SUM(D9:D14)</f>
        <v>18720000</v>
      </c>
      <c r="E15" s="85">
        <f>SUM(E9:E14)</f>
        <v>18720000</v>
      </c>
      <c r="F15" s="86">
        <f>SUM(F9:F14)</f>
        <v>15600000</v>
      </c>
      <c r="G15" s="86">
        <f t="shared" si="0"/>
        <v>53040000</v>
      </c>
    </row>
    <row r="16" spans="2:7" ht="19.7" customHeight="1" x14ac:dyDescent="0.25">
      <c r="B16" s="726"/>
      <c r="C16" s="8"/>
      <c r="D16" s="87"/>
      <c r="E16" s="87"/>
      <c r="F16" s="88" t="s">
        <v>161</v>
      </c>
      <c r="G16" s="86">
        <f>G15</f>
        <v>53040000</v>
      </c>
    </row>
    <row r="17" spans="2:7" ht="19.7" customHeight="1" x14ac:dyDescent="0.25">
      <c r="B17" s="726"/>
      <c r="C17" s="8"/>
      <c r="D17" s="87"/>
      <c r="E17" s="87"/>
      <c r="F17" s="88" t="s">
        <v>583</v>
      </c>
      <c r="G17" s="86">
        <f>G16*0.7</f>
        <v>37128000</v>
      </c>
    </row>
    <row r="18" spans="2:7" x14ac:dyDescent="0.25">
      <c r="B18" s="727"/>
      <c r="C18" s="23"/>
      <c r="D18" s="23"/>
      <c r="E18" s="23"/>
      <c r="F18" s="23"/>
      <c r="G18" s="23"/>
    </row>
    <row r="19" spans="2:7" x14ac:dyDescent="0.25">
      <c r="B19" s="680"/>
      <c r="C19" s="11"/>
      <c r="D19" s="11"/>
      <c r="E19" s="11"/>
      <c r="F19" s="11"/>
      <c r="G19" s="11"/>
    </row>
    <row r="20" spans="2:7" x14ac:dyDescent="0.25">
      <c r="B20" s="680"/>
      <c r="C20" s="11"/>
      <c r="D20" s="11"/>
      <c r="E20" s="11"/>
      <c r="F20" s="11"/>
      <c r="G20" s="11"/>
    </row>
    <row r="21" spans="2:7" x14ac:dyDescent="0.25">
      <c r="D21" s="11"/>
      <c r="E21" s="11"/>
      <c r="F21" s="11"/>
    </row>
    <row r="22" spans="2:7" x14ac:dyDescent="0.25">
      <c r="D22" s="11"/>
      <c r="E22" s="11"/>
      <c r="F22" s="11"/>
    </row>
    <row r="23" spans="2:7" x14ac:dyDescent="0.25">
      <c r="D23" s="11"/>
      <c r="E23" s="11"/>
      <c r="F23" s="11"/>
    </row>
    <row r="24" spans="2:7" x14ac:dyDescent="0.25">
      <c r="D24" s="11"/>
      <c r="E24" s="11"/>
      <c r="F24" s="11"/>
    </row>
  </sheetData>
  <mergeCells count="9">
    <mergeCell ref="B15:C15"/>
    <mergeCell ref="B5:G5"/>
    <mergeCell ref="B6:G6"/>
    <mergeCell ref="B7:B8"/>
    <mergeCell ref="C7:C8"/>
    <mergeCell ref="D7:D8"/>
    <mergeCell ref="E7:E8"/>
    <mergeCell ref="F7:F8"/>
    <mergeCell ref="G7:G8"/>
  </mergeCells>
  <printOptions horizontalCentered="1"/>
  <pageMargins left="0.7" right="0.7" top="0.75" bottom="0.75" header="0.3" footer="0.3"/>
  <pageSetup paperSize="5"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rgb="FF00B0F0"/>
  </sheetPr>
  <dimension ref="A1:I11"/>
  <sheetViews>
    <sheetView view="pageLayout" workbookViewId="0">
      <selection activeCell="E29" sqref="E29"/>
    </sheetView>
  </sheetViews>
  <sheetFormatPr baseColWidth="10" defaultRowHeight="15" x14ac:dyDescent="0.25"/>
  <cols>
    <col min="1" max="1" width="11.42578125" style="113"/>
    <col min="3" max="3" width="24.5703125" customWidth="1"/>
    <col min="4" max="4" width="16.28515625" customWidth="1"/>
    <col min="5" max="5" width="15.42578125" customWidth="1"/>
    <col min="6" max="6" width="18" customWidth="1"/>
    <col min="7" max="7" width="13.42578125" customWidth="1"/>
    <col min="8" max="8" width="13" customWidth="1"/>
    <col min="9" max="9" width="13.140625" customWidth="1"/>
  </cols>
  <sheetData>
    <row r="1" spans="2:9" s="113" customFormat="1" x14ac:dyDescent="0.25"/>
    <row r="2" spans="2:9" s="113" customFormat="1" x14ac:dyDescent="0.25"/>
    <row r="3" spans="2:9" s="113" customFormat="1" x14ac:dyDescent="0.25"/>
    <row r="4" spans="2:9" s="113" customFormat="1" x14ac:dyDescent="0.25"/>
    <row r="5" spans="2:9" x14ac:dyDescent="0.25">
      <c r="B5" s="1064" t="s">
        <v>286</v>
      </c>
      <c r="C5" s="1064"/>
      <c r="D5" s="1064"/>
      <c r="E5" s="1064"/>
      <c r="F5" s="1064"/>
      <c r="G5" s="1064"/>
      <c r="H5" s="1064"/>
      <c r="I5" s="1064"/>
    </row>
    <row r="6" spans="2:9" x14ac:dyDescent="0.25">
      <c r="B6" s="1064" t="s">
        <v>702</v>
      </c>
      <c r="C6" s="1064"/>
      <c r="D6" s="1064"/>
      <c r="E6" s="1064"/>
      <c r="F6" s="1064"/>
      <c r="G6" s="1064"/>
      <c r="H6" s="1064"/>
      <c r="I6" s="1064"/>
    </row>
    <row r="7" spans="2:9" ht="52.5" customHeight="1" x14ac:dyDescent="0.25">
      <c r="B7" s="24" t="s">
        <v>346</v>
      </c>
      <c r="C7" s="24" t="s">
        <v>347</v>
      </c>
      <c r="D7" s="24" t="s">
        <v>703</v>
      </c>
      <c r="E7" s="24" t="s">
        <v>704</v>
      </c>
      <c r="F7" s="24" t="s">
        <v>705</v>
      </c>
      <c r="G7" s="24" t="s">
        <v>706</v>
      </c>
      <c r="H7" s="24" t="s">
        <v>707</v>
      </c>
      <c r="I7" s="28" t="s">
        <v>298</v>
      </c>
    </row>
    <row r="8" spans="2:9" x14ac:dyDescent="0.25">
      <c r="B8" s="20">
        <v>1</v>
      </c>
      <c r="C8" s="16" t="s">
        <v>708</v>
      </c>
      <c r="D8" s="82">
        <v>6825000</v>
      </c>
      <c r="E8" s="82">
        <v>0</v>
      </c>
      <c r="F8" s="82">
        <v>25636000</v>
      </c>
      <c r="G8" s="82">
        <v>0</v>
      </c>
      <c r="H8" s="82">
        <v>77448640</v>
      </c>
      <c r="I8" s="81">
        <f>D8+F8+H8</f>
        <v>109909640</v>
      </c>
    </row>
    <row r="9" spans="2:9" x14ac:dyDescent="0.25">
      <c r="B9" s="25">
        <v>2</v>
      </c>
      <c r="C9" s="26" t="s">
        <v>161</v>
      </c>
      <c r="D9" s="82">
        <f>D8</f>
        <v>6825000</v>
      </c>
      <c r="E9" s="82">
        <v>0</v>
      </c>
      <c r="F9" s="82">
        <f>F8</f>
        <v>25636000</v>
      </c>
      <c r="G9" s="82">
        <v>0</v>
      </c>
      <c r="H9" s="82">
        <f>H8</f>
        <v>77448640</v>
      </c>
      <c r="I9" s="81">
        <f>SUM(D9:H9)</f>
        <v>109909640</v>
      </c>
    </row>
    <row r="10" spans="2:9" x14ac:dyDescent="0.25">
      <c r="B10" s="27"/>
      <c r="C10" s="27"/>
      <c r="D10" s="89"/>
      <c r="E10" s="89"/>
      <c r="F10" s="89"/>
      <c r="G10" s="1065" t="s">
        <v>298</v>
      </c>
      <c r="H10" s="1065"/>
      <c r="I10" s="83">
        <f>I9</f>
        <v>109909640</v>
      </c>
    </row>
    <row r="11" spans="2:9" x14ac:dyDescent="0.25">
      <c r="D11" s="79"/>
      <c r="E11" s="79"/>
      <c r="F11" s="79"/>
      <c r="G11" s="1066" t="s">
        <v>583</v>
      </c>
      <c r="H11" s="1066"/>
      <c r="I11" s="728">
        <f>I10*0.7</f>
        <v>76936748</v>
      </c>
    </row>
  </sheetData>
  <mergeCells count="4">
    <mergeCell ref="B5:I5"/>
    <mergeCell ref="B6:I6"/>
    <mergeCell ref="G10:H10"/>
    <mergeCell ref="G11:H11"/>
  </mergeCells>
  <printOptions horizontalCentered="1"/>
  <pageMargins left="0.7" right="0.7" top="0.75" bottom="0.75" header="0.3" footer="0.3"/>
  <pageSetup paperSize="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25"/>
  <sheetViews>
    <sheetView view="pageLayout" topLeftCell="A16" zoomScaleNormal="100" workbookViewId="0">
      <selection activeCell="C8" sqref="C8"/>
    </sheetView>
  </sheetViews>
  <sheetFormatPr baseColWidth="10" defaultRowHeight="12" x14ac:dyDescent="0.2"/>
  <cols>
    <col min="1" max="2" width="11.42578125" style="729"/>
    <col min="3" max="3" width="6.42578125" style="730" customWidth="1"/>
    <col min="4" max="4" width="86.5703125" style="729" customWidth="1"/>
    <col min="5" max="5" width="21.140625" style="729" customWidth="1"/>
    <col min="6" max="16384" width="11.42578125" style="729"/>
  </cols>
  <sheetData>
    <row r="3" spans="3:5" ht="18" customHeight="1" x14ac:dyDescent="0.2">
      <c r="C3" s="867" t="s">
        <v>538</v>
      </c>
      <c r="D3" s="867"/>
      <c r="E3" s="867"/>
    </row>
    <row r="4" spans="3:5" ht="18" customHeight="1" x14ac:dyDescent="0.2">
      <c r="C4" s="867" t="s">
        <v>1427</v>
      </c>
      <c r="D4" s="867"/>
      <c r="E4" s="867"/>
    </row>
    <row r="5" spans="3:5" ht="17.25" customHeight="1" x14ac:dyDescent="0.2">
      <c r="C5" s="879" t="s">
        <v>543</v>
      </c>
      <c r="D5" s="880"/>
      <c r="E5" s="881"/>
    </row>
    <row r="6" spans="3:5" ht="17.25" customHeight="1" x14ac:dyDescent="0.2">
      <c r="C6" s="1005" t="s">
        <v>1910</v>
      </c>
      <c r="D6" s="1006"/>
      <c r="E6" s="1007"/>
    </row>
    <row r="7" spans="3:5" ht="17.25" customHeight="1" x14ac:dyDescent="0.2">
      <c r="C7" s="882" t="s">
        <v>1927</v>
      </c>
      <c r="D7" s="883"/>
      <c r="E7" s="884"/>
    </row>
    <row r="8" spans="3:5" ht="38.25" customHeight="1" x14ac:dyDescent="0.2">
      <c r="C8" s="731" t="s">
        <v>299</v>
      </c>
      <c r="D8" s="732" t="s">
        <v>0</v>
      </c>
      <c r="E8" s="732" t="s">
        <v>709</v>
      </c>
    </row>
    <row r="9" spans="3:5" ht="18" customHeight="1" x14ac:dyDescent="0.2">
      <c r="C9" s="744">
        <v>1</v>
      </c>
      <c r="D9" s="739" t="s">
        <v>1912</v>
      </c>
      <c r="E9" s="204">
        <v>522965109</v>
      </c>
    </row>
    <row r="10" spans="3:5" ht="18" customHeight="1" x14ac:dyDescent="0.2">
      <c r="C10" s="744">
        <v>2</v>
      </c>
      <c r="D10" s="739" t="s">
        <v>1913</v>
      </c>
      <c r="E10" s="204">
        <v>61725323</v>
      </c>
    </row>
    <row r="11" spans="3:5" ht="18" customHeight="1" x14ac:dyDescent="0.2">
      <c r="C11" s="744">
        <v>3</v>
      </c>
      <c r="D11" s="739" t="s">
        <v>1914</v>
      </c>
      <c r="E11" s="204">
        <v>94090501</v>
      </c>
    </row>
    <row r="12" spans="3:5" ht="18" customHeight="1" x14ac:dyDescent="0.2">
      <c r="C12" s="744">
        <v>4</v>
      </c>
      <c r="D12" s="739" t="s">
        <v>1915</v>
      </c>
      <c r="E12" s="204">
        <v>54666495</v>
      </c>
    </row>
    <row r="13" spans="3:5" ht="18" customHeight="1" x14ac:dyDescent="0.2">
      <c r="C13" s="744">
        <v>5</v>
      </c>
      <c r="D13" s="739" t="s">
        <v>1916</v>
      </c>
      <c r="E13" s="204">
        <v>606067493</v>
      </c>
    </row>
    <row r="14" spans="3:5" ht="18" customHeight="1" x14ac:dyDescent="0.2">
      <c r="C14" s="744">
        <v>6</v>
      </c>
      <c r="D14" s="739" t="s">
        <v>1917</v>
      </c>
      <c r="E14" s="204">
        <v>10175715</v>
      </c>
    </row>
    <row r="15" spans="3:5" ht="18" customHeight="1" x14ac:dyDescent="0.2">
      <c r="C15" s="744">
        <v>7</v>
      </c>
      <c r="D15" s="739" t="s">
        <v>1918</v>
      </c>
      <c r="E15" s="204">
        <v>163729452</v>
      </c>
    </row>
    <row r="16" spans="3:5" ht="18" customHeight="1" x14ac:dyDescent="0.2">
      <c r="C16" s="744">
        <v>8</v>
      </c>
      <c r="D16" s="739" t="s">
        <v>1888</v>
      </c>
      <c r="E16" s="204">
        <v>31362060</v>
      </c>
    </row>
    <row r="17" spans="3:5" ht="18" customHeight="1" x14ac:dyDescent="0.2">
      <c r="C17" s="744">
        <v>9</v>
      </c>
      <c r="D17" s="739" t="s">
        <v>1919</v>
      </c>
      <c r="E17" s="204">
        <v>18757200</v>
      </c>
    </row>
    <row r="18" spans="3:5" ht="18" customHeight="1" x14ac:dyDescent="0.2">
      <c r="C18" s="744">
        <v>10</v>
      </c>
      <c r="D18" s="739" t="s">
        <v>1920</v>
      </c>
      <c r="E18" s="204">
        <v>94499991</v>
      </c>
    </row>
    <row r="19" spans="3:5" ht="18" customHeight="1" x14ac:dyDescent="0.2">
      <c r="C19" s="744">
        <v>11</v>
      </c>
      <c r="D19" s="739" t="s">
        <v>1921</v>
      </c>
      <c r="E19" s="204">
        <v>23858904</v>
      </c>
    </row>
    <row r="20" spans="3:5" ht="18" customHeight="1" x14ac:dyDescent="0.2">
      <c r="C20" s="744">
        <v>12</v>
      </c>
      <c r="D20" s="739" t="s">
        <v>1922</v>
      </c>
      <c r="E20" s="204">
        <v>8152654</v>
      </c>
    </row>
    <row r="21" spans="3:5" ht="18" customHeight="1" x14ac:dyDescent="0.2">
      <c r="C21" s="744">
        <v>13</v>
      </c>
      <c r="D21" s="739" t="s">
        <v>1923</v>
      </c>
      <c r="E21" s="204">
        <v>3653169</v>
      </c>
    </row>
    <row r="22" spans="3:5" ht="18" customHeight="1" x14ac:dyDescent="0.2">
      <c r="C22" s="744">
        <v>14</v>
      </c>
      <c r="D22" s="739" t="s">
        <v>1924</v>
      </c>
      <c r="E22" s="204">
        <v>5304000</v>
      </c>
    </row>
    <row r="23" spans="3:5" ht="18" customHeight="1" x14ac:dyDescent="0.2">
      <c r="C23" s="744">
        <v>15</v>
      </c>
      <c r="D23" s="739" t="s">
        <v>1925</v>
      </c>
      <c r="E23" s="204">
        <v>15912000</v>
      </c>
    </row>
    <row r="24" spans="3:5" ht="18" customHeight="1" x14ac:dyDescent="0.2">
      <c r="C24" s="744">
        <v>16</v>
      </c>
      <c r="D24" s="739" t="s">
        <v>1926</v>
      </c>
      <c r="E24" s="204">
        <v>32972892</v>
      </c>
    </row>
    <row r="25" spans="3:5" ht="18" customHeight="1" x14ac:dyDescent="0.2">
      <c r="C25" s="733"/>
      <c r="D25" s="732" t="s">
        <v>710</v>
      </c>
      <c r="E25" s="196">
        <f>SUM(E9:E24)</f>
        <v>1747892958</v>
      </c>
    </row>
  </sheetData>
  <mergeCells count="5">
    <mergeCell ref="C3:E3"/>
    <mergeCell ref="C4:E4"/>
    <mergeCell ref="C5:E5"/>
    <mergeCell ref="C6:E6"/>
    <mergeCell ref="C7:E7"/>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A1:I201"/>
  <sheetViews>
    <sheetView view="pageLayout" zoomScaleNormal="100" workbookViewId="0">
      <selection sqref="A1:E201"/>
    </sheetView>
  </sheetViews>
  <sheetFormatPr baseColWidth="10" defaultRowHeight="15" x14ac:dyDescent="0.25"/>
  <cols>
    <col min="1" max="1" width="52.7109375" style="152" customWidth="1"/>
    <col min="2" max="2" width="14.85546875" style="152" customWidth="1"/>
    <col min="3" max="3" width="11.42578125" style="157"/>
    <col min="4" max="4" width="12.28515625" style="157" customWidth="1"/>
    <col min="5" max="5" width="14.7109375" style="157" customWidth="1"/>
    <col min="6" max="6" width="11.42578125" style="152"/>
    <col min="7" max="9" width="11.42578125" style="153"/>
    <col min="10" max="16384" width="11.42578125" style="152"/>
  </cols>
  <sheetData>
    <row r="1" spans="1:9" ht="18" customHeight="1" x14ac:dyDescent="0.25">
      <c r="A1" s="867" t="s">
        <v>1393</v>
      </c>
      <c r="B1" s="867"/>
      <c r="C1" s="867"/>
      <c r="D1" s="867"/>
      <c r="E1" s="867"/>
    </row>
    <row r="2" spans="1:9" ht="18" customHeight="1" x14ac:dyDescent="0.25">
      <c r="A2" s="176" t="s">
        <v>0</v>
      </c>
      <c r="B2" s="176" t="s">
        <v>1</v>
      </c>
      <c r="C2" s="177" t="s">
        <v>2</v>
      </c>
      <c r="D2" s="177" t="s">
        <v>3</v>
      </c>
      <c r="E2" s="177" t="s">
        <v>4</v>
      </c>
    </row>
    <row r="3" spans="1:9" ht="18" customHeight="1" x14ac:dyDescent="0.25">
      <c r="A3" s="148" t="s">
        <v>5</v>
      </c>
      <c r="B3" s="304" t="s">
        <v>6</v>
      </c>
      <c r="C3" s="345">
        <v>10000</v>
      </c>
      <c r="D3" s="364">
        <f>(1613*0.05)+1613</f>
        <v>1693.65</v>
      </c>
      <c r="E3" s="364">
        <f t="shared" ref="E3:E33" si="0">D3*C3</f>
        <v>16936500</v>
      </c>
      <c r="G3" s="155"/>
      <c r="H3" s="155"/>
      <c r="I3" s="155"/>
    </row>
    <row r="4" spans="1:9" ht="18" customHeight="1" x14ac:dyDescent="0.25">
      <c r="A4" s="148" t="s">
        <v>7</v>
      </c>
      <c r="B4" s="304" t="s">
        <v>6</v>
      </c>
      <c r="C4" s="345">
        <v>200</v>
      </c>
      <c r="D4" s="364">
        <f>(5336*0.05)+5336</f>
        <v>5602.8</v>
      </c>
      <c r="E4" s="364">
        <f t="shared" si="0"/>
        <v>1120560</v>
      </c>
      <c r="G4" s="155"/>
      <c r="H4" s="155"/>
      <c r="I4" s="155"/>
    </row>
    <row r="5" spans="1:9" ht="18" customHeight="1" x14ac:dyDescent="0.25">
      <c r="A5" s="148" t="s">
        <v>8</v>
      </c>
      <c r="B5" s="304" t="s">
        <v>6</v>
      </c>
      <c r="C5" s="345">
        <v>500</v>
      </c>
      <c r="D5" s="364">
        <v>8000</v>
      </c>
      <c r="E5" s="364">
        <f t="shared" si="0"/>
        <v>4000000</v>
      </c>
      <c r="G5" s="155"/>
      <c r="H5" s="155"/>
      <c r="I5" s="155"/>
    </row>
    <row r="6" spans="1:9" ht="18" customHeight="1" x14ac:dyDescent="0.25">
      <c r="A6" s="148" t="s">
        <v>9</v>
      </c>
      <c r="B6" s="304" t="s">
        <v>6</v>
      </c>
      <c r="C6" s="345">
        <v>500</v>
      </c>
      <c r="D6" s="364">
        <v>850</v>
      </c>
      <c r="E6" s="364">
        <f t="shared" si="0"/>
        <v>425000</v>
      </c>
      <c r="G6" s="155"/>
      <c r="H6" s="155"/>
      <c r="I6" s="155"/>
    </row>
    <row r="7" spans="1:9" ht="18" customHeight="1" x14ac:dyDescent="0.25">
      <c r="A7" s="148" t="s">
        <v>1634</v>
      </c>
      <c r="B7" s="304" t="s">
        <v>6</v>
      </c>
      <c r="C7" s="345">
        <v>20</v>
      </c>
      <c r="D7" s="364">
        <v>14000</v>
      </c>
      <c r="E7" s="364">
        <f t="shared" si="0"/>
        <v>280000</v>
      </c>
      <c r="G7" s="155"/>
      <c r="H7" s="155"/>
      <c r="I7" s="155"/>
    </row>
    <row r="8" spans="1:9" ht="18" customHeight="1" x14ac:dyDescent="0.25">
      <c r="A8" s="148" t="s">
        <v>16</v>
      </c>
      <c r="B8" s="304" t="s">
        <v>6</v>
      </c>
      <c r="C8" s="345">
        <v>50</v>
      </c>
      <c r="D8" s="364">
        <f>(135000*0.05)+135000</f>
        <v>141750</v>
      </c>
      <c r="E8" s="364">
        <f t="shared" si="0"/>
        <v>7087500</v>
      </c>
      <c r="G8" s="155"/>
      <c r="H8" s="155"/>
      <c r="I8" s="155"/>
    </row>
    <row r="9" spans="1:9" ht="18" customHeight="1" x14ac:dyDescent="0.25">
      <c r="A9" s="148" t="s">
        <v>1649</v>
      </c>
      <c r="B9" s="304" t="s">
        <v>6</v>
      </c>
      <c r="C9" s="345">
        <v>100</v>
      </c>
      <c r="D9" s="364">
        <f>(325000*0.05)+325000</f>
        <v>341250</v>
      </c>
      <c r="E9" s="364">
        <f t="shared" si="0"/>
        <v>34125000</v>
      </c>
      <c r="G9" s="155"/>
      <c r="H9" s="155"/>
      <c r="I9" s="155"/>
    </row>
    <row r="10" spans="1:9" ht="18" customHeight="1" x14ac:dyDescent="0.25">
      <c r="A10" s="148" t="s">
        <v>1650</v>
      </c>
      <c r="B10" s="304" t="s">
        <v>6</v>
      </c>
      <c r="C10" s="345">
        <v>30</v>
      </c>
      <c r="D10" s="364">
        <f>(285000*0.05)+285000</f>
        <v>299250</v>
      </c>
      <c r="E10" s="364">
        <f t="shared" si="0"/>
        <v>8977500</v>
      </c>
      <c r="G10" s="155"/>
      <c r="H10" s="155"/>
      <c r="I10" s="155"/>
    </row>
    <row r="11" spans="1:9" ht="18" customHeight="1" x14ac:dyDescent="0.25">
      <c r="A11" s="148" t="s">
        <v>1631</v>
      </c>
      <c r="B11" s="304" t="s">
        <v>6</v>
      </c>
      <c r="C11" s="345">
        <v>20000</v>
      </c>
      <c r="D11" s="364">
        <v>8000</v>
      </c>
      <c r="E11" s="364">
        <f t="shared" si="0"/>
        <v>160000000</v>
      </c>
      <c r="G11" s="155"/>
      <c r="H11" s="155"/>
      <c r="I11" s="155"/>
    </row>
    <row r="12" spans="1:9" ht="18" customHeight="1" x14ac:dyDescent="0.25">
      <c r="A12" s="148" t="s">
        <v>1637</v>
      </c>
      <c r="B12" s="304" t="s">
        <v>6</v>
      </c>
      <c r="C12" s="345">
        <v>400</v>
      </c>
      <c r="D12" s="364">
        <v>9100</v>
      </c>
      <c r="E12" s="364">
        <f t="shared" si="0"/>
        <v>3640000</v>
      </c>
      <c r="G12" s="155"/>
      <c r="H12" s="155"/>
      <c r="I12" s="155"/>
    </row>
    <row r="13" spans="1:9" ht="18" customHeight="1" x14ac:dyDescent="0.25">
      <c r="A13" s="148" t="s">
        <v>10</v>
      </c>
      <c r="B13" s="304" t="s">
        <v>6</v>
      </c>
      <c r="C13" s="345">
        <v>20000</v>
      </c>
      <c r="D13" s="364">
        <v>800</v>
      </c>
      <c r="E13" s="364">
        <f t="shared" si="0"/>
        <v>16000000</v>
      </c>
      <c r="G13" s="155"/>
      <c r="H13" s="155"/>
      <c r="I13" s="155"/>
    </row>
    <row r="14" spans="1:9" ht="18" customHeight="1" x14ac:dyDescent="0.25">
      <c r="A14" s="148" t="s">
        <v>12</v>
      </c>
      <c r="B14" s="304" t="s">
        <v>6</v>
      </c>
      <c r="C14" s="345">
        <v>10000</v>
      </c>
      <c r="D14" s="364">
        <f>(1391*0.05)+1391</f>
        <v>1460.55</v>
      </c>
      <c r="E14" s="364">
        <f t="shared" si="0"/>
        <v>14605500</v>
      </c>
      <c r="G14" s="155"/>
      <c r="H14" s="155"/>
      <c r="I14" s="155"/>
    </row>
    <row r="15" spans="1:9" ht="18" customHeight="1" x14ac:dyDescent="0.25">
      <c r="A15" s="148" t="s">
        <v>1826</v>
      </c>
      <c r="B15" s="304" t="s">
        <v>6</v>
      </c>
      <c r="C15" s="345">
        <v>500</v>
      </c>
      <c r="D15" s="364">
        <v>3000</v>
      </c>
      <c r="E15" s="364">
        <f t="shared" si="0"/>
        <v>1500000</v>
      </c>
      <c r="G15" s="155"/>
      <c r="H15" s="155"/>
      <c r="I15" s="155"/>
    </row>
    <row r="16" spans="1:9" ht="18" customHeight="1" x14ac:dyDescent="0.25">
      <c r="A16" s="148" t="s">
        <v>11</v>
      </c>
      <c r="B16" s="304" t="s">
        <v>6</v>
      </c>
      <c r="C16" s="345">
        <v>500</v>
      </c>
      <c r="D16" s="364">
        <v>4500</v>
      </c>
      <c r="E16" s="364">
        <f t="shared" si="0"/>
        <v>2250000</v>
      </c>
      <c r="G16" s="155"/>
      <c r="H16" s="155"/>
      <c r="I16" s="155"/>
    </row>
    <row r="17" spans="1:9" ht="18" customHeight="1" x14ac:dyDescent="0.25">
      <c r="A17" s="148" t="s">
        <v>23</v>
      </c>
      <c r="B17" s="304" t="s">
        <v>6</v>
      </c>
      <c r="C17" s="345">
        <v>30000</v>
      </c>
      <c r="D17" s="364">
        <v>1500</v>
      </c>
      <c r="E17" s="364">
        <f t="shared" si="0"/>
        <v>45000000</v>
      </c>
      <c r="G17" s="155"/>
      <c r="H17" s="155"/>
      <c r="I17" s="155"/>
    </row>
    <row r="18" spans="1:9" ht="18" customHeight="1" x14ac:dyDescent="0.25">
      <c r="A18" s="147" t="s">
        <v>17</v>
      </c>
      <c r="B18" s="304" t="s">
        <v>6</v>
      </c>
      <c r="C18" s="345">
        <v>50</v>
      </c>
      <c r="D18" s="364">
        <f>(3500*0.05)+3500</f>
        <v>3675</v>
      </c>
      <c r="E18" s="364">
        <f t="shared" si="0"/>
        <v>183750</v>
      </c>
      <c r="G18" s="155"/>
      <c r="H18" s="155"/>
      <c r="I18" s="155"/>
    </row>
    <row r="19" spans="1:9" ht="18" customHeight="1" x14ac:dyDescent="0.25">
      <c r="A19" s="148" t="s">
        <v>19</v>
      </c>
      <c r="B19" s="304" t="s">
        <v>6</v>
      </c>
      <c r="C19" s="345">
        <v>300</v>
      </c>
      <c r="D19" s="364">
        <f>(32500*0.05)+32500</f>
        <v>34125</v>
      </c>
      <c r="E19" s="364">
        <f t="shared" si="0"/>
        <v>10237500</v>
      </c>
      <c r="G19" s="155"/>
      <c r="H19" s="155"/>
      <c r="I19" s="155"/>
    </row>
    <row r="20" spans="1:9" ht="18" customHeight="1" x14ac:dyDescent="0.25">
      <c r="A20" s="148" t="s">
        <v>18</v>
      </c>
      <c r="B20" s="304" t="s">
        <v>6</v>
      </c>
      <c r="C20" s="345">
        <v>100</v>
      </c>
      <c r="D20" s="364">
        <f>(28900*0.05)+28900</f>
        <v>30345</v>
      </c>
      <c r="E20" s="364">
        <f t="shared" si="0"/>
        <v>3034500</v>
      </c>
      <c r="G20" s="155"/>
      <c r="H20" s="155"/>
      <c r="I20" s="155"/>
    </row>
    <row r="21" spans="1:9" ht="18" customHeight="1" x14ac:dyDescent="0.25">
      <c r="A21" s="148" t="s">
        <v>20</v>
      </c>
      <c r="B21" s="304" t="s">
        <v>6</v>
      </c>
      <c r="C21" s="345">
        <v>500</v>
      </c>
      <c r="D21" s="364">
        <v>3500</v>
      </c>
      <c r="E21" s="364">
        <f t="shared" si="0"/>
        <v>1750000</v>
      </c>
      <c r="G21" s="155"/>
      <c r="H21" s="155"/>
      <c r="I21" s="155"/>
    </row>
    <row r="22" spans="1:9" ht="18" customHeight="1" x14ac:dyDescent="0.25">
      <c r="A22" s="147" t="s">
        <v>13</v>
      </c>
      <c r="B22" s="305" t="s">
        <v>6</v>
      </c>
      <c r="C22" s="345">
        <v>1000</v>
      </c>
      <c r="D22" s="364">
        <v>8000</v>
      </c>
      <c r="E22" s="364">
        <f t="shared" si="0"/>
        <v>8000000</v>
      </c>
      <c r="G22" s="155"/>
      <c r="H22" s="155"/>
      <c r="I22" s="155"/>
    </row>
    <row r="23" spans="1:9" ht="18" customHeight="1" x14ac:dyDescent="0.25">
      <c r="A23" s="148" t="s">
        <v>21</v>
      </c>
      <c r="B23" s="304" t="s">
        <v>6</v>
      </c>
      <c r="C23" s="345">
        <v>100</v>
      </c>
      <c r="D23" s="364">
        <f>(39800*0.05)+39800</f>
        <v>41790</v>
      </c>
      <c r="E23" s="364">
        <f t="shared" si="0"/>
        <v>4179000</v>
      </c>
      <c r="G23" s="155"/>
      <c r="H23" s="155"/>
      <c r="I23" s="155"/>
    </row>
    <row r="24" spans="1:9" ht="18" customHeight="1" x14ac:dyDescent="0.25">
      <c r="A24" s="148" t="s">
        <v>1644</v>
      </c>
      <c r="B24" s="304" t="s">
        <v>6</v>
      </c>
      <c r="C24" s="345">
        <v>500</v>
      </c>
      <c r="D24" s="364">
        <v>7500</v>
      </c>
      <c r="E24" s="364">
        <f t="shared" si="0"/>
        <v>3750000</v>
      </c>
      <c r="G24" s="155"/>
      <c r="H24" s="155"/>
      <c r="I24" s="155"/>
    </row>
    <row r="25" spans="1:9" ht="18" customHeight="1" x14ac:dyDescent="0.25">
      <c r="A25" s="148" t="s">
        <v>22</v>
      </c>
      <c r="B25" s="304" t="s">
        <v>6</v>
      </c>
      <c r="C25" s="345">
        <v>200</v>
      </c>
      <c r="D25" s="364">
        <f>(5800*0.05)+5800</f>
        <v>6090</v>
      </c>
      <c r="E25" s="364">
        <f t="shared" si="0"/>
        <v>1218000</v>
      </c>
      <c r="G25" s="155"/>
      <c r="H25" s="155"/>
      <c r="I25" s="155"/>
    </row>
    <row r="26" spans="1:9" ht="18" customHeight="1" x14ac:dyDescent="0.25">
      <c r="A26" s="148" t="s">
        <v>1629</v>
      </c>
      <c r="B26" s="304" t="s">
        <v>6</v>
      </c>
      <c r="C26" s="345">
        <v>400</v>
      </c>
      <c r="D26" s="364">
        <v>10000</v>
      </c>
      <c r="E26" s="364">
        <f t="shared" si="0"/>
        <v>4000000</v>
      </c>
      <c r="G26" s="155"/>
      <c r="H26" s="155"/>
      <c r="I26" s="155"/>
    </row>
    <row r="27" spans="1:9" ht="18" customHeight="1" x14ac:dyDescent="0.25">
      <c r="A27" s="148" t="s">
        <v>1636</v>
      </c>
      <c r="B27" s="304" t="s">
        <v>6</v>
      </c>
      <c r="C27" s="345">
        <v>50</v>
      </c>
      <c r="D27" s="364">
        <v>80000</v>
      </c>
      <c r="E27" s="364">
        <f t="shared" si="0"/>
        <v>4000000</v>
      </c>
      <c r="G27" s="155"/>
      <c r="H27" s="155"/>
      <c r="I27" s="155"/>
    </row>
    <row r="28" spans="1:9" ht="18" customHeight="1" x14ac:dyDescent="0.25">
      <c r="A28" s="148" t="s">
        <v>61</v>
      </c>
      <c r="B28" s="304" t="s">
        <v>6</v>
      </c>
      <c r="C28" s="345">
        <v>300</v>
      </c>
      <c r="D28" s="364">
        <f>(8755*0.05)+8755</f>
        <v>9192.75</v>
      </c>
      <c r="E28" s="364">
        <f t="shared" si="0"/>
        <v>2757825</v>
      </c>
      <c r="G28" s="155"/>
      <c r="H28" s="155"/>
      <c r="I28" s="155"/>
    </row>
    <row r="29" spans="1:9" ht="18" customHeight="1" x14ac:dyDescent="0.25">
      <c r="A29" s="148" t="s">
        <v>56</v>
      </c>
      <c r="B29" s="304" t="s">
        <v>6</v>
      </c>
      <c r="C29" s="345">
        <v>500</v>
      </c>
      <c r="D29" s="364">
        <f>(13000*0.05)+13000</f>
        <v>13650</v>
      </c>
      <c r="E29" s="364">
        <f t="shared" si="0"/>
        <v>6825000</v>
      </c>
      <c r="G29" s="155"/>
      <c r="H29" s="155"/>
      <c r="I29" s="155"/>
    </row>
    <row r="30" spans="1:9" ht="18" customHeight="1" x14ac:dyDescent="0.25">
      <c r="A30" s="148" t="s">
        <v>58</v>
      </c>
      <c r="B30" s="304" t="s">
        <v>25</v>
      </c>
      <c r="C30" s="345">
        <v>500</v>
      </c>
      <c r="D30" s="364">
        <f>(115000*0.05)+115000</f>
        <v>120750</v>
      </c>
      <c r="E30" s="364">
        <f t="shared" si="0"/>
        <v>60375000</v>
      </c>
      <c r="G30" s="155"/>
      <c r="H30" s="155"/>
      <c r="I30" s="155"/>
    </row>
    <row r="31" spans="1:9" ht="18" customHeight="1" x14ac:dyDescent="0.25">
      <c r="A31" s="148" t="s">
        <v>59</v>
      </c>
      <c r="B31" s="304" t="s">
        <v>25</v>
      </c>
      <c r="C31" s="345">
        <v>500</v>
      </c>
      <c r="D31" s="364">
        <f>(120000*0.05)+120000</f>
        <v>126000</v>
      </c>
      <c r="E31" s="364">
        <f t="shared" si="0"/>
        <v>63000000</v>
      </c>
      <c r="G31" s="155"/>
      <c r="H31" s="155"/>
      <c r="I31" s="155"/>
    </row>
    <row r="32" spans="1:9" ht="18" customHeight="1" x14ac:dyDescent="0.25">
      <c r="A32" s="148" t="s">
        <v>60</v>
      </c>
      <c r="B32" s="304" t="s">
        <v>25</v>
      </c>
      <c r="C32" s="345">
        <v>300</v>
      </c>
      <c r="D32" s="364">
        <f>(66695*0.05)+66695</f>
        <v>70029.75</v>
      </c>
      <c r="E32" s="364">
        <f t="shared" si="0"/>
        <v>21008925</v>
      </c>
      <c r="G32" s="155"/>
      <c r="H32" s="155"/>
      <c r="I32" s="155"/>
    </row>
    <row r="33" spans="1:9" ht="18" customHeight="1" x14ac:dyDescent="0.25">
      <c r="A33" s="148" t="s">
        <v>29</v>
      </c>
      <c r="B33" s="304" t="s">
        <v>25</v>
      </c>
      <c r="C33" s="345">
        <v>200</v>
      </c>
      <c r="D33" s="364">
        <v>2000</v>
      </c>
      <c r="E33" s="364">
        <f t="shared" si="0"/>
        <v>400000</v>
      </c>
      <c r="G33" s="155"/>
      <c r="H33" s="155"/>
      <c r="I33" s="155"/>
    </row>
    <row r="34" spans="1:9" ht="18" customHeight="1" x14ac:dyDescent="0.25">
      <c r="A34" s="148" t="s">
        <v>24</v>
      </c>
      <c r="B34" s="304" t="s">
        <v>25</v>
      </c>
      <c r="C34" s="345">
        <v>100</v>
      </c>
      <c r="D34" s="364">
        <v>1035</v>
      </c>
      <c r="E34" s="364">
        <f>D34*C34</f>
        <v>103500</v>
      </c>
      <c r="G34" s="155"/>
      <c r="H34" s="155"/>
      <c r="I34" s="155"/>
    </row>
    <row r="35" spans="1:9" ht="18" customHeight="1" x14ac:dyDescent="0.25">
      <c r="A35" s="148" t="s">
        <v>26</v>
      </c>
      <c r="B35" s="304" t="s">
        <v>25</v>
      </c>
      <c r="C35" s="345">
        <v>400</v>
      </c>
      <c r="D35" s="364">
        <v>4500</v>
      </c>
      <c r="E35" s="364">
        <f t="shared" ref="E35:E72" si="1">D35*C35</f>
        <v>1800000</v>
      </c>
      <c r="G35" s="155"/>
      <c r="H35" s="155"/>
      <c r="I35" s="155"/>
    </row>
    <row r="36" spans="1:9" ht="18" customHeight="1" x14ac:dyDescent="0.25">
      <c r="A36" s="148" t="s">
        <v>27</v>
      </c>
      <c r="B36" s="304" t="s">
        <v>25</v>
      </c>
      <c r="C36" s="345">
        <v>200</v>
      </c>
      <c r="D36" s="364">
        <v>6500</v>
      </c>
      <c r="E36" s="364">
        <f t="shared" si="1"/>
        <v>1300000</v>
      </c>
      <c r="G36" s="155"/>
      <c r="H36" s="155"/>
      <c r="I36" s="155"/>
    </row>
    <row r="37" spans="1:9" ht="18" customHeight="1" x14ac:dyDescent="0.25">
      <c r="A37" s="148" t="s">
        <v>28</v>
      </c>
      <c r="B37" s="304" t="s">
        <v>25</v>
      </c>
      <c r="C37" s="345">
        <v>600</v>
      </c>
      <c r="D37" s="364">
        <f>(3800*0.05)+3800</f>
        <v>3990</v>
      </c>
      <c r="E37" s="364">
        <f t="shared" si="1"/>
        <v>2394000</v>
      </c>
      <c r="G37" s="155"/>
      <c r="H37" s="155"/>
      <c r="I37" s="155"/>
    </row>
    <row r="38" spans="1:9" ht="18" customHeight="1" x14ac:dyDescent="0.25">
      <c r="A38" s="148" t="s">
        <v>30</v>
      </c>
      <c r="B38" s="304" t="s">
        <v>6</v>
      </c>
      <c r="C38" s="345">
        <v>300</v>
      </c>
      <c r="D38" s="364">
        <v>7000</v>
      </c>
      <c r="E38" s="364">
        <f t="shared" si="1"/>
        <v>2100000</v>
      </c>
      <c r="G38" s="155"/>
      <c r="H38" s="155"/>
      <c r="I38" s="155"/>
    </row>
    <row r="39" spans="1:9" ht="18" customHeight="1" x14ac:dyDescent="0.25">
      <c r="A39" s="147" t="s">
        <v>1827</v>
      </c>
      <c r="B39" s="305" t="s">
        <v>6</v>
      </c>
      <c r="C39" s="345">
        <v>200</v>
      </c>
      <c r="D39" s="364">
        <v>800</v>
      </c>
      <c r="E39" s="364">
        <f t="shared" si="1"/>
        <v>160000</v>
      </c>
      <c r="G39" s="155"/>
      <c r="H39" s="155"/>
      <c r="I39" s="155"/>
    </row>
    <row r="40" spans="1:9" ht="18" customHeight="1" x14ac:dyDescent="0.25">
      <c r="A40" s="147" t="s">
        <v>1828</v>
      </c>
      <c r="B40" s="305" t="s">
        <v>6</v>
      </c>
      <c r="C40" s="345">
        <v>200</v>
      </c>
      <c r="D40" s="364">
        <v>800</v>
      </c>
      <c r="E40" s="364">
        <f t="shared" si="1"/>
        <v>160000</v>
      </c>
      <c r="G40" s="155"/>
      <c r="H40" s="155"/>
      <c r="I40" s="155"/>
    </row>
    <row r="41" spans="1:9" ht="18" customHeight="1" x14ac:dyDescent="0.25">
      <c r="A41" s="147" t="s">
        <v>1829</v>
      </c>
      <c r="B41" s="305" t="s">
        <v>6</v>
      </c>
      <c r="C41" s="345">
        <v>200</v>
      </c>
      <c r="D41" s="364">
        <v>800</v>
      </c>
      <c r="E41" s="364">
        <f t="shared" ref="E41" si="2">D41*C41</f>
        <v>160000</v>
      </c>
      <c r="G41" s="155"/>
      <c r="H41" s="155"/>
      <c r="I41" s="155"/>
    </row>
    <row r="42" spans="1:9" ht="18" customHeight="1" x14ac:dyDescent="0.25">
      <c r="A42" s="147" t="s">
        <v>1830</v>
      </c>
      <c r="B42" s="305" t="s">
        <v>6</v>
      </c>
      <c r="C42" s="345">
        <v>2000</v>
      </c>
      <c r="D42" s="364">
        <v>800</v>
      </c>
      <c r="E42" s="364">
        <f t="shared" ref="E42" si="3">D42*C42</f>
        <v>1600000</v>
      </c>
      <c r="G42" s="155"/>
      <c r="H42" s="155"/>
      <c r="I42" s="155"/>
    </row>
    <row r="43" spans="1:9" ht="18" customHeight="1" x14ac:dyDescent="0.25">
      <c r="A43" s="148" t="s">
        <v>1831</v>
      </c>
      <c r="B43" s="304" t="s">
        <v>6</v>
      </c>
      <c r="C43" s="345">
        <v>1000</v>
      </c>
      <c r="D43" s="364">
        <v>800</v>
      </c>
      <c r="E43" s="364">
        <f t="shared" si="1"/>
        <v>800000</v>
      </c>
      <c r="G43" s="155"/>
      <c r="H43" s="155"/>
      <c r="I43" s="155"/>
    </row>
    <row r="44" spans="1:9" ht="18" customHeight="1" x14ac:dyDescent="0.25">
      <c r="A44" s="148" t="s">
        <v>1832</v>
      </c>
      <c r="B44" s="304" t="s">
        <v>6</v>
      </c>
      <c r="C44" s="345">
        <v>200</v>
      </c>
      <c r="D44" s="364">
        <v>800</v>
      </c>
      <c r="E44" s="364">
        <f t="shared" ref="E44" si="4">D44*C44</f>
        <v>160000</v>
      </c>
      <c r="G44" s="155"/>
      <c r="H44" s="155"/>
      <c r="I44" s="155"/>
    </row>
    <row r="45" spans="1:9" ht="18" customHeight="1" x14ac:dyDescent="0.25">
      <c r="A45" s="148" t="s">
        <v>31</v>
      </c>
      <c r="B45" s="304"/>
      <c r="C45" s="345">
        <v>2000</v>
      </c>
      <c r="D45" s="364"/>
      <c r="E45" s="364"/>
      <c r="G45" s="155"/>
      <c r="H45" s="155"/>
      <c r="I45" s="155"/>
    </row>
    <row r="46" spans="1:9" ht="18" customHeight="1" x14ac:dyDescent="0.25">
      <c r="A46" s="148" t="s">
        <v>1630</v>
      </c>
      <c r="B46" s="304" t="s">
        <v>6</v>
      </c>
      <c r="C46" s="345"/>
      <c r="D46" s="364">
        <v>2000</v>
      </c>
      <c r="E46" s="364">
        <f t="shared" si="1"/>
        <v>0</v>
      </c>
      <c r="G46" s="155"/>
      <c r="H46" s="155"/>
      <c r="I46" s="155"/>
    </row>
    <row r="47" spans="1:9" ht="18" customHeight="1" x14ac:dyDescent="0.25">
      <c r="A47" s="148" t="s">
        <v>33</v>
      </c>
      <c r="B47" s="304" t="s">
        <v>6</v>
      </c>
      <c r="C47" s="345">
        <v>500</v>
      </c>
      <c r="D47" s="364">
        <v>22000</v>
      </c>
      <c r="E47" s="364">
        <f t="shared" si="1"/>
        <v>11000000</v>
      </c>
      <c r="G47" s="155"/>
      <c r="H47" s="155"/>
      <c r="I47" s="155"/>
    </row>
    <row r="48" spans="1:9" ht="18" customHeight="1" x14ac:dyDescent="0.25">
      <c r="A48" s="148" t="s">
        <v>1646</v>
      </c>
      <c r="B48" s="304" t="s">
        <v>25</v>
      </c>
      <c r="C48" s="345"/>
      <c r="D48" s="364">
        <v>6000</v>
      </c>
      <c r="E48" s="364">
        <f t="shared" si="1"/>
        <v>0</v>
      </c>
      <c r="G48" s="155"/>
      <c r="H48" s="155"/>
      <c r="I48" s="155"/>
    </row>
    <row r="49" spans="1:9" ht="18" customHeight="1" x14ac:dyDescent="0.25">
      <c r="A49" s="148" t="s">
        <v>62</v>
      </c>
      <c r="B49" s="304" t="s">
        <v>6</v>
      </c>
      <c r="C49" s="345">
        <v>500</v>
      </c>
      <c r="D49" s="364">
        <f>(1900*0.05)+1900</f>
        <v>1995</v>
      </c>
      <c r="E49" s="364">
        <f t="shared" si="1"/>
        <v>997500</v>
      </c>
      <c r="G49" s="155"/>
      <c r="H49" s="155"/>
      <c r="I49" s="155"/>
    </row>
    <row r="50" spans="1:9" ht="18" customHeight="1" x14ac:dyDescent="0.25">
      <c r="A50" s="148" t="s">
        <v>1833</v>
      </c>
      <c r="B50" s="304" t="s">
        <v>6</v>
      </c>
      <c r="C50" s="345">
        <v>600</v>
      </c>
      <c r="D50" s="364">
        <v>2000</v>
      </c>
      <c r="E50" s="364">
        <f t="shared" si="1"/>
        <v>1200000</v>
      </c>
      <c r="G50" s="155"/>
      <c r="H50" s="155"/>
      <c r="I50" s="155"/>
    </row>
    <row r="51" spans="1:9" ht="18" customHeight="1" x14ac:dyDescent="0.25">
      <c r="A51" s="148" t="s">
        <v>1647</v>
      </c>
      <c r="B51" s="304" t="s">
        <v>6</v>
      </c>
      <c r="C51" s="345">
        <v>600</v>
      </c>
      <c r="D51" s="364">
        <v>2500</v>
      </c>
      <c r="E51" s="364">
        <f t="shared" si="1"/>
        <v>1500000</v>
      </c>
      <c r="G51" s="155"/>
      <c r="H51" s="155"/>
      <c r="I51" s="155"/>
    </row>
    <row r="52" spans="1:9" ht="18" customHeight="1" x14ac:dyDescent="0.25">
      <c r="A52" s="148" t="s">
        <v>15</v>
      </c>
      <c r="B52" s="304" t="s">
        <v>6</v>
      </c>
      <c r="C52" s="345">
        <v>50</v>
      </c>
      <c r="D52" s="364">
        <f>(298000*0.05)+298000</f>
        <v>312900</v>
      </c>
      <c r="E52" s="364">
        <f t="shared" si="1"/>
        <v>15645000</v>
      </c>
      <c r="G52" s="155"/>
      <c r="H52" s="155"/>
      <c r="I52" s="155"/>
    </row>
    <row r="53" spans="1:9" ht="18" customHeight="1" x14ac:dyDescent="0.25">
      <c r="A53" s="148" t="s">
        <v>57</v>
      </c>
      <c r="B53" s="304" t="s">
        <v>6</v>
      </c>
      <c r="C53" s="345">
        <v>50</v>
      </c>
      <c r="D53" s="364">
        <f>(87000*0.05)+87000</f>
        <v>91350</v>
      </c>
      <c r="E53" s="364">
        <f t="shared" si="1"/>
        <v>4567500</v>
      </c>
      <c r="G53" s="155"/>
      <c r="H53" s="155"/>
      <c r="I53" s="155"/>
    </row>
    <row r="54" spans="1:9" ht="18" customHeight="1" x14ac:dyDescent="0.25">
      <c r="A54" s="147" t="s">
        <v>32</v>
      </c>
      <c r="B54" s="305" t="s">
        <v>6</v>
      </c>
      <c r="C54" s="345">
        <v>500</v>
      </c>
      <c r="D54" s="364">
        <f>(16240*0.05)+16240</f>
        <v>17052</v>
      </c>
      <c r="E54" s="364">
        <f t="shared" si="1"/>
        <v>8526000</v>
      </c>
      <c r="G54" s="155"/>
      <c r="H54" s="155"/>
      <c r="I54" s="155"/>
    </row>
    <row r="55" spans="1:9" ht="18" customHeight="1" x14ac:dyDescent="0.25">
      <c r="A55" s="148" t="s">
        <v>36</v>
      </c>
      <c r="B55" s="304" t="s">
        <v>25</v>
      </c>
      <c r="C55" s="345">
        <v>500</v>
      </c>
      <c r="D55" s="364">
        <v>17000</v>
      </c>
      <c r="E55" s="364">
        <f t="shared" si="1"/>
        <v>8500000</v>
      </c>
      <c r="G55" s="155"/>
      <c r="H55" s="155"/>
      <c r="I55" s="155"/>
    </row>
    <row r="56" spans="1:9" ht="18" customHeight="1" x14ac:dyDescent="0.25">
      <c r="A56" s="147" t="s">
        <v>34</v>
      </c>
      <c r="B56" s="305" t="s">
        <v>35</v>
      </c>
      <c r="C56" s="345">
        <v>200</v>
      </c>
      <c r="D56" s="364">
        <f>(44281*0.05)+44281</f>
        <v>46495.05</v>
      </c>
      <c r="E56" s="364">
        <f t="shared" si="1"/>
        <v>9299010</v>
      </c>
      <c r="G56" s="155"/>
      <c r="H56" s="155"/>
      <c r="I56" s="155"/>
    </row>
    <row r="57" spans="1:9" ht="18" customHeight="1" x14ac:dyDescent="0.25">
      <c r="A57" s="147" t="s">
        <v>1645</v>
      </c>
      <c r="B57" s="305" t="s">
        <v>25</v>
      </c>
      <c r="C57" s="345"/>
      <c r="D57" s="364">
        <v>119000</v>
      </c>
      <c r="E57" s="364">
        <f t="shared" si="1"/>
        <v>0</v>
      </c>
      <c r="G57" s="155"/>
      <c r="H57" s="155"/>
      <c r="I57" s="155"/>
    </row>
    <row r="58" spans="1:9" ht="18" customHeight="1" x14ac:dyDescent="0.25">
      <c r="A58" s="148" t="s">
        <v>1638</v>
      </c>
      <c r="B58" s="304" t="s">
        <v>6</v>
      </c>
      <c r="C58" s="345">
        <v>500</v>
      </c>
      <c r="D58" s="364">
        <v>7000</v>
      </c>
      <c r="E58" s="364">
        <f t="shared" si="1"/>
        <v>3500000</v>
      </c>
      <c r="G58" s="155"/>
      <c r="H58" s="155"/>
      <c r="I58" s="155"/>
    </row>
    <row r="59" spans="1:9" ht="18" customHeight="1" x14ac:dyDescent="0.25">
      <c r="A59" s="197" t="s">
        <v>37</v>
      </c>
      <c r="B59" s="365" t="s">
        <v>6</v>
      </c>
      <c r="C59" s="366">
        <v>400</v>
      </c>
      <c r="D59" s="523">
        <v>25000</v>
      </c>
      <c r="E59" s="523">
        <f t="shared" si="1"/>
        <v>10000000</v>
      </c>
      <c r="G59" s="155"/>
      <c r="H59" s="155"/>
      <c r="I59" s="155"/>
    </row>
    <row r="60" spans="1:9" ht="18" customHeight="1" x14ac:dyDescent="0.25">
      <c r="A60" s="213"/>
      <c r="B60" s="502"/>
      <c r="C60" s="346"/>
      <c r="D60" s="524"/>
      <c r="E60" s="524"/>
      <c r="G60" s="155"/>
      <c r="H60" s="155"/>
      <c r="I60" s="155"/>
    </row>
    <row r="61" spans="1:9" ht="18" customHeight="1" x14ac:dyDescent="0.25">
      <c r="A61" s="194"/>
      <c r="B61" s="503"/>
      <c r="C61" s="457"/>
      <c r="D61" s="525"/>
      <c r="E61" s="525"/>
      <c r="G61" s="155"/>
      <c r="H61" s="155"/>
      <c r="I61" s="155"/>
    </row>
    <row r="62" spans="1:9" ht="18" customHeight="1" x14ac:dyDescent="0.25">
      <c r="A62" s="148" t="s">
        <v>38</v>
      </c>
      <c r="B62" s="497" t="s">
        <v>39</v>
      </c>
      <c r="C62" s="345">
        <v>500</v>
      </c>
      <c r="D62" s="364">
        <v>4800</v>
      </c>
      <c r="E62" s="364">
        <f t="shared" si="1"/>
        <v>2400000</v>
      </c>
      <c r="G62" s="155"/>
      <c r="H62" s="155"/>
      <c r="I62" s="155"/>
    </row>
    <row r="63" spans="1:9" ht="18" customHeight="1" x14ac:dyDescent="0.25">
      <c r="A63" s="148" t="s">
        <v>42</v>
      </c>
      <c r="B63" s="304" t="s">
        <v>39</v>
      </c>
      <c r="C63" s="345">
        <v>300</v>
      </c>
      <c r="D63" s="364">
        <v>4800</v>
      </c>
      <c r="E63" s="364">
        <f t="shared" si="1"/>
        <v>1440000</v>
      </c>
      <c r="G63" s="155"/>
      <c r="H63" s="155"/>
      <c r="I63" s="155"/>
    </row>
    <row r="64" spans="1:9" ht="18" customHeight="1" x14ac:dyDescent="0.25">
      <c r="A64" s="148" t="s">
        <v>1639</v>
      </c>
      <c r="B64" s="304" t="s">
        <v>6</v>
      </c>
      <c r="C64" s="345">
        <v>500</v>
      </c>
      <c r="D64" s="364">
        <v>20000</v>
      </c>
      <c r="E64" s="364">
        <f t="shared" si="1"/>
        <v>10000000</v>
      </c>
      <c r="G64" s="155"/>
      <c r="H64" s="155"/>
      <c r="I64" s="155"/>
    </row>
    <row r="65" spans="1:9" ht="18" customHeight="1" x14ac:dyDescent="0.25">
      <c r="A65" s="148" t="s">
        <v>41</v>
      </c>
      <c r="B65" s="304" t="s">
        <v>6</v>
      </c>
      <c r="C65" s="345">
        <v>500</v>
      </c>
      <c r="D65" s="364">
        <f>(4171*0.05)+4171</f>
        <v>4379.55</v>
      </c>
      <c r="E65" s="364">
        <f t="shared" si="1"/>
        <v>2189775</v>
      </c>
      <c r="G65" s="155"/>
      <c r="H65" s="155"/>
      <c r="I65" s="155"/>
    </row>
    <row r="66" spans="1:9" ht="18" customHeight="1" x14ac:dyDescent="0.25">
      <c r="A66" s="148" t="s">
        <v>1633</v>
      </c>
      <c r="B66" s="304" t="s">
        <v>6</v>
      </c>
      <c r="C66" s="345">
        <v>200</v>
      </c>
      <c r="D66" s="364">
        <v>1500</v>
      </c>
      <c r="E66" s="364">
        <f t="shared" si="1"/>
        <v>300000</v>
      </c>
      <c r="G66" s="155"/>
      <c r="H66" s="155"/>
      <c r="I66" s="155"/>
    </row>
    <row r="67" spans="1:9" ht="18" customHeight="1" x14ac:dyDescent="0.25">
      <c r="A67" s="148" t="s">
        <v>43</v>
      </c>
      <c r="B67" s="304" t="s">
        <v>6</v>
      </c>
      <c r="C67" s="345">
        <v>300</v>
      </c>
      <c r="D67" s="364">
        <v>1500</v>
      </c>
      <c r="E67" s="364">
        <f t="shared" si="1"/>
        <v>450000</v>
      </c>
      <c r="G67" s="155"/>
      <c r="H67" s="155"/>
      <c r="I67" s="155"/>
    </row>
    <row r="68" spans="1:9" ht="18" customHeight="1" x14ac:dyDescent="0.25">
      <c r="A68" s="148" t="s">
        <v>1640</v>
      </c>
      <c r="B68" s="304" t="s">
        <v>6</v>
      </c>
      <c r="C68" s="345">
        <v>700</v>
      </c>
      <c r="D68" s="364">
        <v>14000</v>
      </c>
      <c r="E68" s="364">
        <f t="shared" si="1"/>
        <v>9800000</v>
      </c>
      <c r="G68" s="155"/>
      <c r="H68" s="155"/>
      <c r="I68" s="155"/>
    </row>
    <row r="69" spans="1:9" ht="18" customHeight="1" x14ac:dyDescent="0.25">
      <c r="A69" s="148" t="s">
        <v>1641</v>
      </c>
      <c r="B69" s="304" t="s">
        <v>6</v>
      </c>
      <c r="C69" s="345">
        <v>600</v>
      </c>
      <c r="D69" s="364">
        <v>15000</v>
      </c>
      <c r="E69" s="364">
        <f t="shared" si="1"/>
        <v>9000000</v>
      </c>
      <c r="G69" s="155"/>
      <c r="H69" s="155"/>
      <c r="I69" s="155"/>
    </row>
    <row r="70" spans="1:9" ht="18" customHeight="1" x14ac:dyDescent="0.25">
      <c r="A70" s="148" t="s">
        <v>44</v>
      </c>
      <c r="B70" s="304" t="s">
        <v>6</v>
      </c>
      <c r="C70" s="345">
        <v>300</v>
      </c>
      <c r="D70" s="364">
        <v>2500</v>
      </c>
      <c r="E70" s="364">
        <f t="shared" si="1"/>
        <v>750000</v>
      </c>
      <c r="G70" s="155"/>
      <c r="H70" s="155"/>
      <c r="I70" s="155"/>
    </row>
    <row r="71" spans="1:9" ht="18" customHeight="1" x14ac:dyDescent="0.25">
      <c r="A71" s="148" t="s">
        <v>1642</v>
      </c>
      <c r="B71" s="304" t="s">
        <v>6</v>
      </c>
      <c r="C71" s="345">
        <v>500</v>
      </c>
      <c r="D71" s="364">
        <v>850</v>
      </c>
      <c r="E71" s="364">
        <f t="shared" si="1"/>
        <v>425000</v>
      </c>
      <c r="G71" s="155"/>
      <c r="H71" s="155"/>
      <c r="I71" s="155"/>
    </row>
    <row r="72" spans="1:9" ht="18" customHeight="1" x14ac:dyDescent="0.25">
      <c r="A72" s="148" t="s">
        <v>55</v>
      </c>
      <c r="B72" s="304" t="s">
        <v>6</v>
      </c>
      <c r="C72" s="345">
        <v>1000</v>
      </c>
      <c r="D72" s="364">
        <v>300</v>
      </c>
      <c r="E72" s="364">
        <f t="shared" si="1"/>
        <v>300000</v>
      </c>
      <c r="G72" s="155"/>
      <c r="H72" s="155"/>
      <c r="I72" s="155"/>
    </row>
    <row r="73" spans="1:9" ht="18" customHeight="1" x14ac:dyDescent="0.25">
      <c r="A73" s="148" t="s">
        <v>54</v>
      </c>
      <c r="B73" s="304" t="s">
        <v>6</v>
      </c>
      <c r="C73" s="345">
        <v>1000</v>
      </c>
      <c r="D73" s="364">
        <v>360</v>
      </c>
      <c r="E73" s="364">
        <f t="shared" ref="E73:E89" si="5">D73*C73</f>
        <v>360000</v>
      </c>
      <c r="G73" s="155"/>
      <c r="H73" s="155"/>
      <c r="I73" s="155"/>
    </row>
    <row r="74" spans="1:9" ht="18" customHeight="1" x14ac:dyDescent="0.25">
      <c r="A74" s="148" t="s">
        <v>1835</v>
      </c>
      <c r="B74" s="304" t="s">
        <v>6</v>
      </c>
      <c r="C74" s="345">
        <v>1000</v>
      </c>
      <c r="D74" s="364">
        <v>500</v>
      </c>
      <c r="E74" s="364">
        <f t="shared" si="5"/>
        <v>500000</v>
      </c>
      <c r="G74" s="155"/>
      <c r="H74" s="155"/>
      <c r="I74" s="155"/>
    </row>
    <row r="75" spans="1:9" ht="18" customHeight="1" x14ac:dyDescent="0.25">
      <c r="A75" s="148" t="s">
        <v>1834</v>
      </c>
      <c r="B75" s="304" t="s">
        <v>6</v>
      </c>
      <c r="C75" s="345">
        <v>5000</v>
      </c>
      <c r="D75" s="364">
        <v>15000</v>
      </c>
      <c r="E75" s="364">
        <f t="shared" si="5"/>
        <v>75000000</v>
      </c>
      <c r="G75" s="155"/>
      <c r="H75" s="155"/>
      <c r="I75" s="155"/>
    </row>
    <row r="76" spans="1:9" ht="18" customHeight="1" x14ac:dyDescent="0.25">
      <c r="A76" s="148" t="s">
        <v>1635</v>
      </c>
      <c r="B76" s="304" t="s">
        <v>6</v>
      </c>
      <c r="C76" s="345"/>
      <c r="D76" s="364">
        <v>15000</v>
      </c>
      <c r="E76" s="364">
        <f t="shared" si="5"/>
        <v>0</v>
      </c>
      <c r="G76" s="155"/>
      <c r="H76" s="155"/>
      <c r="I76" s="155"/>
    </row>
    <row r="77" spans="1:9" ht="22.5" customHeight="1" x14ac:dyDescent="0.25">
      <c r="A77" s="147" t="s">
        <v>1648</v>
      </c>
      <c r="B77" s="304" t="s">
        <v>6</v>
      </c>
      <c r="C77" s="345"/>
      <c r="D77" s="364">
        <v>180000</v>
      </c>
      <c r="E77" s="364">
        <f t="shared" si="5"/>
        <v>0</v>
      </c>
      <c r="G77" s="155"/>
      <c r="H77" s="155"/>
      <c r="I77" s="155"/>
    </row>
    <row r="78" spans="1:9" ht="18" customHeight="1" x14ac:dyDescent="0.25">
      <c r="A78" s="147" t="s">
        <v>40</v>
      </c>
      <c r="B78" s="305" t="s">
        <v>6</v>
      </c>
      <c r="C78" s="345">
        <v>300</v>
      </c>
      <c r="D78" s="364">
        <v>3500</v>
      </c>
      <c r="E78" s="364">
        <f t="shared" si="5"/>
        <v>1050000</v>
      </c>
      <c r="G78" s="155"/>
      <c r="H78" s="155"/>
      <c r="I78" s="155"/>
    </row>
    <row r="79" spans="1:9" ht="18" customHeight="1" x14ac:dyDescent="0.25">
      <c r="A79" s="147" t="s">
        <v>1555</v>
      </c>
      <c r="B79" s="305" t="s">
        <v>6</v>
      </c>
      <c r="C79" s="345">
        <v>300</v>
      </c>
      <c r="D79" s="364">
        <v>5500</v>
      </c>
      <c r="E79" s="364">
        <f t="shared" ref="E79" si="6">D79*C79</f>
        <v>1650000</v>
      </c>
      <c r="G79" s="155"/>
      <c r="H79" s="155"/>
      <c r="I79" s="155"/>
    </row>
    <row r="80" spans="1:9" ht="18" customHeight="1" x14ac:dyDescent="0.25">
      <c r="A80" s="148" t="s">
        <v>1632</v>
      </c>
      <c r="B80" s="304" t="s">
        <v>6</v>
      </c>
      <c r="C80" s="345">
        <v>300</v>
      </c>
      <c r="D80" s="364">
        <v>9500</v>
      </c>
      <c r="E80" s="364">
        <f t="shared" si="5"/>
        <v>2850000</v>
      </c>
      <c r="G80" s="155"/>
      <c r="H80" s="155"/>
      <c r="I80" s="155"/>
    </row>
    <row r="81" spans="1:9" ht="18" customHeight="1" x14ac:dyDescent="0.25">
      <c r="A81" s="148" t="s">
        <v>47</v>
      </c>
      <c r="B81" s="304" t="s">
        <v>6</v>
      </c>
      <c r="C81" s="345">
        <v>50</v>
      </c>
      <c r="D81" s="364">
        <f>(256000*0.05)+256000</f>
        <v>268800</v>
      </c>
      <c r="E81" s="364">
        <f t="shared" si="5"/>
        <v>13440000</v>
      </c>
      <c r="G81" s="155"/>
      <c r="H81" s="155"/>
      <c r="I81" s="155"/>
    </row>
    <row r="82" spans="1:9" ht="18" customHeight="1" x14ac:dyDescent="0.25">
      <c r="A82" s="148" t="s">
        <v>48</v>
      </c>
      <c r="B82" s="304" t="s">
        <v>6</v>
      </c>
      <c r="C82" s="345">
        <v>50</v>
      </c>
      <c r="D82" s="364">
        <f>(198500*0.05)+198500</f>
        <v>208425</v>
      </c>
      <c r="E82" s="364">
        <f t="shared" si="5"/>
        <v>10421250</v>
      </c>
      <c r="G82" s="155"/>
      <c r="H82" s="155"/>
      <c r="I82" s="155"/>
    </row>
    <row r="83" spans="1:9" ht="18" customHeight="1" x14ac:dyDescent="0.25">
      <c r="A83" s="148" t="s">
        <v>50</v>
      </c>
      <c r="B83" s="304" t="s">
        <v>6</v>
      </c>
      <c r="C83" s="345"/>
      <c r="D83" s="364">
        <f>(85500*0.05)+85500</f>
        <v>89775</v>
      </c>
      <c r="E83" s="364">
        <f t="shared" si="5"/>
        <v>0</v>
      </c>
      <c r="G83" s="155"/>
      <c r="H83" s="155"/>
      <c r="I83" s="155"/>
    </row>
    <row r="84" spans="1:9" ht="18" customHeight="1" x14ac:dyDescent="0.25">
      <c r="A84" s="148" t="s">
        <v>45</v>
      </c>
      <c r="B84" s="304" t="s">
        <v>6</v>
      </c>
      <c r="C84" s="345">
        <v>100</v>
      </c>
      <c r="D84" s="364">
        <f>(235000*0.05)+235000</f>
        <v>246750</v>
      </c>
      <c r="E84" s="364">
        <f t="shared" si="5"/>
        <v>24675000</v>
      </c>
      <c r="G84" s="155"/>
      <c r="H84" s="155"/>
      <c r="I84" s="155"/>
    </row>
    <row r="85" spans="1:9" ht="18" customHeight="1" x14ac:dyDescent="0.25">
      <c r="A85" s="148" t="s">
        <v>46</v>
      </c>
      <c r="B85" s="304" t="s">
        <v>6</v>
      </c>
      <c r="C85" s="345">
        <v>200</v>
      </c>
      <c r="D85" s="364">
        <f>(228500*0.05)+228500</f>
        <v>239925</v>
      </c>
      <c r="E85" s="364">
        <f t="shared" si="5"/>
        <v>47985000</v>
      </c>
      <c r="G85" s="155"/>
      <c r="H85" s="155"/>
      <c r="I85" s="155"/>
    </row>
    <row r="86" spans="1:9" ht="18" customHeight="1" x14ac:dyDescent="0.25">
      <c r="A86" s="148" t="s">
        <v>52</v>
      </c>
      <c r="B86" s="304" t="s">
        <v>6</v>
      </c>
      <c r="C86" s="345">
        <v>50</v>
      </c>
      <c r="D86" s="364">
        <f>(225000*0.05)+225000</f>
        <v>236250</v>
      </c>
      <c r="E86" s="364">
        <f t="shared" si="5"/>
        <v>11812500</v>
      </c>
      <c r="G86" s="155"/>
      <c r="H86" s="155"/>
      <c r="I86" s="155"/>
    </row>
    <row r="87" spans="1:9" ht="18" customHeight="1" x14ac:dyDescent="0.25">
      <c r="A87" s="148" t="s">
        <v>49</v>
      </c>
      <c r="B87" s="304" t="s">
        <v>6</v>
      </c>
      <c r="C87" s="345">
        <v>50</v>
      </c>
      <c r="D87" s="364">
        <f>(225000*0.05)+225000</f>
        <v>236250</v>
      </c>
      <c r="E87" s="364">
        <f t="shared" si="5"/>
        <v>11812500</v>
      </c>
      <c r="G87" s="155"/>
      <c r="H87" s="155"/>
      <c r="I87" s="155"/>
    </row>
    <row r="88" spans="1:9" ht="18" customHeight="1" x14ac:dyDescent="0.25">
      <c r="A88" s="148" t="s">
        <v>53</v>
      </c>
      <c r="B88" s="304" t="s">
        <v>6</v>
      </c>
      <c r="C88" s="345">
        <v>100</v>
      </c>
      <c r="D88" s="364">
        <f>(215200*0.05)+215200</f>
        <v>225960</v>
      </c>
      <c r="E88" s="364">
        <f t="shared" si="5"/>
        <v>22596000</v>
      </c>
      <c r="G88" s="155"/>
      <c r="H88" s="155"/>
      <c r="I88" s="155"/>
    </row>
    <row r="89" spans="1:9" ht="18" customHeight="1" x14ac:dyDescent="0.25">
      <c r="A89" s="148" t="s">
        <v>51</v>
      </c>
      <c r="B89" s="304" t="s">
        <v>6</v>
      </c>
      <c r="C89" s="345">
        <v>100</v>
      </c>
      <c r="D89" s="364">
        <f>(213000*0.05)+213000</f>
        <v>223650</v>
      </c>
      <c r="E89" s="364">
        <f t="shared" si="5"/>
        <v>22365000</v>
      </c>
      <c r="G89" s="155"/>
      <c r="H89" s="155"/>
      <c r="I89" s="155"/>
    </row>
    <row r="90" spans="1:9" s="174" customFormat="1" ht="18" customHeight="1" x14ac:dyDescent="0.25">
      <c r="A90" s="868" t="s">
        <v>1643</v>
      </c>
      <c r="B90" s="869"/>
      <c r="C90" s="869"/>
      <c r="D90" s="869"/>
      <c r="E90" s="870"/>
      <c r="G90" s="175"/>
      <c r="H90" s="175"/>
      <c r="I90" s="175"/>
    </row>
    <row r="91" spans="1:9" ht="18" customHeight="1" x14ac:dyDescent="0.25">
      <c r="A91" s="148" t="s">
        <v>66</v>
      </c>
      <c r="B91" s="304" t="s">
        <v>64</v>
      </c>
      <c r="C91" s="345">
        <v>1000</v>
      </c>
      <c r="D91" s="364">
        <f>(98*0.05)+98</f>
        <v>102.9</v>
      </c>
      <c r="E91" s="364">
        <f t="shared" ref="E91:E125" si="7">D91*C91</f>
        <v>102900</v>
      </c>
      <c r="G91" s="155"/>
      <c r="H91" s="155"/>
      <c r="I91" s="155"/>
    </row>
    <row r="92" spans="1:9" ht="18" customHeight="1" x14ac:dyDescent="0.25">
      <c r="A92" s="148" t="s">
        <v>143</v>
      </c>
      <c r="B92" s="304" t="s">
        <v>64</v>
      </c>
      <c r="C92" s="345">
        <v>1000</v>
      </c>
      <c r="D92" s="364">
        <f>(98*0.05)+98</f>
        <v>102.9</v>
      </c>
      <c r="E92" s="364">
        <f t="shared" si="7"/>
        <v>102900</v>
      </c>
      <c r="G92" s="155"/>
      <c r="H92" s="155"/>
      <c r="I92" s="155"/>
    </row>
    <row r="93" spans="1:9" ht="18" customHeight="1" x14ac:dyDescent="0.25">
      <c r="A93" s="148" t="s">
        <v>67</v>
      </c>
      <c r="B93" s="304" t="s">
        <v>64</v>
      </c>
      <c r="C93" s="345">
        <v>1000</v>
      </c>
      <c r="D93" s="364">
        <f>(75*0.05)+75</f>
        <v>78.75</v>
      </c>
      <c r="E93" s="364">
        <f t="shared" si="7"/>
        <v>78750</v>
      </c>
    </row>
    <row r="94" spans="1:9" ht="18" customHeight="1" x14ac:dyDescent="0.25">
      <c r="A94" s="148" t="s">
        <v>68</v>
      </c>
      <c r="B94" s="304" t="s">
        <v>6</v>
      </c>
      <c r="C94" s="345">
        <v>10000</v>
      </c>
      <c r="D94" s="364">
        <f>(696*0.05)+696</f>
        <v>730.8</v>
      </c>
      <c r="E94" s="364">
        <f t="shared" si="7"/>
        <v>7308000</v>
      </c>
      <c r="G94" s="156"/>
    </row>
    <row r="95" spans="1:9" ht="18" customHeight="1" x14ac:dyDescent="0.25">
      <c r="A95" s="148" t="s">
        <v>69</v>
      </c>
      <c r="B95" s="304" t="s">
        <v>64</v>
      </c>
      <c r="C95" s="345">
        <v>5000</v>
      </c>
      <c r="D95" s="364">
        <f>(135*0.05)+135</f>
        <v>141.75</v>
      </c>
      <c r="E95" s="364">
        <f t="shared" si="7"/>
        <v>708750</v>
      </c>
      <c r="G95" s="156"/>
    </row>
    <row r="96" spans="1:9" ht="18" customHeight="1" x14ac:dyDescent="0.25">
      <c r="A96" s="148" t="s">
        <v>63</v>
      </c>
      <c r="B96" s="304" t="s">
        <v>64</v>
      </c>
      <c r="C96" s="345">
        <v>20000</v>
      </c>
      <c r="D96" s="364">
        <f>(75*0.05)+75</f>
        <v>78.75</v>
      </c>
      <c r="E96" s="364">
        <f t="shared" si="7"/>
        <v>1575000</v>
      </c>
      <c r="G96" s="156"/>
    </row>
    <row r="97" spans="1:9" ht="18" customHeight="1" x14ac:dyDescent="0.25">
      <c r="A97" s="148" t="s">
        <v>70</v>
      </c>
      <c r="B97" s="304" t="s">
        <v>64</v>
      </c>
      <c r="C97" s="345">
        <v>5000</v>
      </c>
      <c r="D97" s="364">
        <f>(93*0.05)+93</f>
        <v>97.65</v>
      </c>
      <c r="E97" s="364">
        <f t="shared" si="7"/>
        <v>488250</v>
      </c>
      <c r="G97" s="156"/>
    </row>
    <row r="98" spans="1:9" ht="18" customHeight="1" x14ac:dyDescent="0.25">
      <c r="A98" s="148" t="s">
        <v>71</v>
      </c>
      <c r="B98" s="304" t="s">
        <v>64</v>
      </c>
      <c r="C98" s="345">
        <v>5000</v>
      </c>
      <c r="D98" s="364">
        <f>(64*0.05)+64</f>
        <v>67.2</v>
      </c>
      <c r="E98" s="364">
        <f t="shared" si="7"/>
        <v>336000</v>
      </c>
      <c r="G98" s="156"/>
    </row>
    <row r="99" spans="1:9" ht="18" customHeight="1" x14ac:dyDescent="0.25">
      <c r="A99" s="148" t="s">
        <v>73</v>
      </c>
      <c r="B99" s="304" t="s">
        <v>64</v>
      </c>
      <c r="C99" s="345">
        <v>10000</v>
      </c>
      <c r="D99" s="364">
        <f>(65*0.05)+65</f>
        <v>68.25</v>
      </c>
      <c r="E99" s="364">
        <f t="shared" si="7"/>
        <v>682500</v>
      </c>
      <c r="G99" s="156"/>
    </row>
    <row r="100" spans="1:9" ht="18" customHeight="1" x14ac:dyDescent="0.25">
      <c r="A100" s="148" t="s">
        <v>76</v>
      </c>
      <c r="B100" s="304" t="s">
        <v>64</v>
      </c>
      <c r="C100" s="345">
        <v>30000</v>
      </c>
      <c r="D100" s="364">
        <f>(110*0.05)+110</f>
        <v>115.5</v>
      </c>
      <c r="E100" s="364">
        <f t="shared" si="7"/>
        <v>3465000</v>
      </c>
      <c r="G100" s="156"/>
    </row>
    <row r="101" spans="1:9" ht="22.5" customHeight="1" x14ac:dyDescent="0.25">
      <c r="A101" s="147" t="s">
        <v>1651</v>
      </c>
      <c r="B101" s="304" t="s">
        <v>64</v>
      </c>
      <c r="C101" s="345">
        <v>30000</v>
      </c>
      <c r="D101" s="364">
        <f>(250*0.05)+250</f>
        <v>262.5</v>
      </c>
      <c r="E101" s="364">
        <f t="shared" si="7"/>
        <v>7875000</v>
      </c>
      <c r="G101" s="156"/>
    </row>
    <row r="102" spans="1:9" ht="25.5" customHeight="1" x14ac:dyDescent="0.25">
      <c r="A102" s="147" t="s">
        <v>1652</v>
      </c>
      <c r="B102" s="304" t="s">
        <v>64</v>
      </c>
      <c r="C102" s="345">
        <v>30000</v>
      </c>
      <c r="D102" s="364">
        <f>(250*0.05)+250</f>
        <v>262.5</v>
      </c>
      <c r="E102" s="364">
        <f t="shared" si="7"/>
        <v>7875000</v>
      </c>
      <c r="G102" s="156"/>
    </row>
    <row r="103" spans="1:9" ht="18" customHeight="1" x14ac:dyDescent="0.25">
      <c r="A103" s="148" t="s">
        <v>83</v>
      </c>
      <c r="B103" s="304" t="s">
        <v>64</v>
      </c>
      <c r="C103" s="345">
        <v>10000</v>
      </c>
      <c r="D103" s="364">
        <f>(65*0.05)+65</f>
        <v>68.25</v>
      </c>
      <c r="E103" s="364">
        <f t="shared" si="7"/>
        <v>682500</v>
      </c>
      <c r="G103" s="156"/>
    </row>
    <row r="104" spans="1:9" ht="18" customHeight="1" x14ac:dyDescent="0.25">
      <c r="A104" s="148" t="s">
        <v>77</v>
      </c>
      <c r="B104" s="304" t="s">
        <v>6</v>
      </c>
      <c r="C104" s="345">
        <v>20000</v>
      </c>
      <c r="D104" s="364">
        <f>(95*0.05)+95</f>
        <v>99.75</v>
      </c>
      <c r="E104" s="364">
        <f t="shared" si="7"/>
        <v>1995000</v>
      </c>
      <c r="G104" s="156"/>
    </row>
    <row r="105" spans="1:9" ht="18" customHeight="1" x14ac:dyDescent="0.25">
      <c r="A105" s="148" t="s">
        <v>78</v>
      </c>
      <c r="B105" s="304" t="s">
        <v>14</v>
      </c>
      <c r="C105" s="345">
        <v>20000</v>
      </c>
      <c r="D105" s="364">
        <f>(161*0.05)+161</f>
        <v>169.05</v>
      </c>
      <c r="E105" s="364">
        <f t="shared" si="7"/>
        <v>3381000</v>
      </c>
      <c r="G105" s="156"/>
    </row>
    <row r="106" spans="1:9" ht="18" customHeight="1" x14ac:dyDescent="0.25">
      <c r="A106" s="148" t="s">
        <v>1680</v>
      </c>
      <c r="B106" s="304" t="s">
        <v>14</v>
      </c>
      <c r="C106" s="345">
        <v>250</v>
      </c>
      <c r="D106" s="364">
        <v>10000</v>
      </c>
      <c r="E106" s="364">
        <f t="shared" si="7"/>
        <v>2500000</v>
      </c>
      <c r="G106" s="156"/>
    </row>
    <row r="107" spans="1:9" ht="18" customHeight="1" x14ac:dyDescent="0.25">
      <c r="A107" s="148" t="s">
        <v>95</v>
      </c>
      <c r="B107" s="304" t="s">
        <v>64</v>
      </c>
      <c r="C107" s="345">
        <v>1000</v>
      </c>
      <c r="D107" s="364">
        <f>(69*0.05)+69</f>
        <v>72.45</v>
      </c>
      <c r="E107" s="364">
        <f t="shared" si="7"/>
        <v>72450</v>
      </c>
      <c r="G107" s="156"/>
    </row>
    <row r="108" spans="1:9" ht="18" customHeight="1" x14ac:dyDescent="0.25">
      <c r="A108" s="148" t="s">
        <v>79</v>
      </c>
      <c r="B108" s="304" t="s">
        <v>64</v>
      </c>
      <c r="C108" s="345">
        <v>5000</v>
      </c>
      <c r="D108" s="364">
        <f>(64*0.05)+64</f>
        <v>67.2</v>
      </c>
      <c r="E108" s="364">
        <f t="shared" si="7"/>
        <v>336000</v>
      </c>
      <c r="G108" s="156"/>
    </row>
    <row r="109" spans="1:9" ht="18" customHeight="1" x14ac:dyDescent="0.25">
      <c r="A109" s="148" t="s">
        <v>130</v>
      </c>
      <c r="B109" s="304" t="s">
        <v>64</v>
      </c>
      <c r="C109" s="345">
        <v>40000</v>
      </c>
      <c r="D109" s="364">
        <f>(74*0.05)+74</f>
        <v>77.7</v>
      </c>
      <c r="E109" s="364">
        <f t="shared" si="7"/>
        <v>3108000</v>
      </c>
      <c r="G109" s="156"/>
    </row>
    <row r="110" spans="1:9" ht="18" customHeight="1" x14ac:dyDescent="0.25">
      <c r="A110" s="148" t="s">
        <v>132</v>
      </c>
      <c r="B110" s="304" t="s">
        <v>64</v>
      </c>
      <c r="C110" s="345">
        <v>50000</v>
      </c>
      <c r="D110" s="364">
        <f>(74*0.05)+74</f>
        <v>77.7</v>
      </c>
      <c r="E110" s="364">
        <f t="shared" si="7"/>
        <v>3885000</v>
      </c>
      <c r="G110" s="156"/>
    </row>
    <row r="111" spans="1:9" ht="18" customHeight="1" x14ac:dyDescent="0.25">
      <c r="A111" s="148" t="s">
        <v>134</v>
      </c>
      <c r="B111" s="304" t="s">
        <v>64</v>
      </c>
      <c r="C111" s="345">
        <v>20000</v>
      </c>
      <c r="D111" s="364">
        <f>(87*0.05)+87</f>
        <v>91.35</v>
      </c>
      <c r="E111" s="364">
        <f t="shared" si="7"/>
        <v>1827000</v>
      </c>
      <c r="G111" s="156"/>
    </row>
    <row r="112" spans="1:9" ht="18" customHeight="1" x14ac:dyDescent="0.25">
      <c r="A112" s="148" t="s">
        <v>80</v>
      </c>
      <c r="B112" s="304" t="s">
        <v>64</v>
      </c>
      <c r="C112" s="345">
        <v>20000</v>
      </c>
      <c r="D112" s="364">
        <f>(87*0.05)+87</f>
        <v>91.35</v>
      </c>
      <c r="E112" s="364">
        <f t="shared" si="7"/>
        <v>1827000</v>
      </c>
      <c r="G112" s="156"/>
      <c r="H112" s="152"/>
      <c r="I112" s="152"/>
    </row>
    <row r="113" spans="1:9" ht="18" customHeight="1" x14ac:dyDescent="0.25">
      <c r="A113" s="148" t="s">
        <v>81</v>
      </c>
      <c r="B113" s="304" t="s">
        <v>14</v>
      </c>
      <c r="C113" s="345">
        <v>20000</v>
      </c>
      <c r="D113" s="364">
        <f>(75*0.05)+75</f>
        <v>78.75</v>
      </c>
      <c r="E113" s="364">
        <f t="shared" si="7"/>
        <v>1575000</v>
      </c>
      <c r="G113" s="156"/>
      <c r="H113" s="152"/>
      <c r="I113" s="152"/>
    </row>
    <row r="114" spans="1:9" ht="18" customHeight="1" x14ac:dyDescent="0.25">
      <c r="A114" s="148" t="s">
        <v>82</v>
      </c>
      <c r="B114" s="304" t="s">
        <v>64</v>
      </c>
      <c r="C114" s="345">
        <v>5000</v>
      </c>
      <c r="D114" s="364">
        <f>(64*0.05)+64</f>
        <v>67.2</v>
      </c>
      <c r="E114" s="364">
        <f t="shared" si="7"/>
        <v>336000</v>
      </c>
      <c r="G114" s="156"/>
      <c r="H114" s="152"/>
      <c r="I114" s="152"/>
    </row>
    <row r="115" spans="1:9" ht="18" customHeight="1" x14ac:dyDescent="0.25">
      <c r="A115" s="148" t="s">
        <v>87</v>
      </c>
      <c r="B115" s="304" t="s">
        <v>64</v>
      </c>
      <c r="C115" s="345">
        <v>10000</v>
      </c>
      <c r="D115" s="364">
        <f>(98*0.05)+98</f>
        <v>102.9</v>
      </c>
      <c r="E115" s="364">
        <f t="shared" si="7"/>
        <v>1029000</v>
      </c>
      <c r="G115" s="156"/>
      <c r="H115" s="152"/>
      <c r="I115" s="152"/>
    </row>
    <row r="116" spans="1:9" ht="18" customHeight="1" x14ac:dyDescent="0.25">
      <c r="A116" s="148" t="s">
        <v>93</v>
      </c>
      <c r="B116" s="304" t="s">
        <v>64</v>
      </c>
      <c r="C116" s="345">
        <v>5000</v>
      </c>
      <c r="D116" s="364">
        <f>(98*0.05)+98</f>
        <v>102.9</v>
      </c>
      <c r="E116" s="364">
        <f t="shared" si="7"/>
        <v>514500</v>
      </c>
      <c r="G116" s="156"/>
      <c r="H116" s="152"/>
      <c r="I116" s="152"/>
    </row>
    <row r="117" spans="1:9" ht="18" customHeight="1" x14ac:dyDescent="0.25">
      <c r="A117" s="148" t="s">
        <v>84</v>
      </c>
      <c r="B117" s="304" t="s">
        <v>64</v>
      </c>
      <c r="C117" s="345">
        <v>10000</v>
      </c>
      <c r="D117" s="364">
        <f>(160*0.05)+160</f>
        <v>168</v>
      </c>
      <c r="E117" s="364">
        <f t="shared" si="7"/>
        <v>1680000</v>
      </c>
      <c r="G117" s="156"/>
      <c r="H117" s="152"/>
      <c r="I117" s="152"/>
    </row>
    <row r="118" spans="1:9" ht="18" customHeight="1" x14ac:dyDescent="0.25">
      <c r="A118" s="148" t="s">
        <v>65</v>
      </c>
      <c r="B118" s="304" t="s">
        <v>64</v>
      </c>
      <c r="C118" s="345">
        <v>5000</v>
      </c>
      <c r="D118" s="364">
        <f>(75*0.05)+75</f>
        <v>78.75</v>
      </c>
      <c r="E118" s="364">
        <f t="shared" si="7"/>
        <v>393750</v>
      </c>
      <c r="G118" s="156"/>
      <c r="H118" s="152"/>
      <c r="I118" s="152"/>
    </row>
    <row r="119" spans="1:9" ht="18" customHeight="1" x14ac:dyDescent="0.25">
      <c r="A119" s="213"/>
      <c r="B119" s="502"/>
      <c r="C119" s="346"/>
      <c r="D119" s="524"/>
      <c r="E119" s="524"/>
      <c r="G119" s="156"/>
      <c r="H119" s="152"/>
      <c r="I119" s="152"/>
    </row>
    <row r="120" spans="1:9" ht="18" customHeight="1" x14ac:dyDescent="0.25">
      <c r="A120" s="194"/>
      <c r="B120" s="503"/>
      <c r="C120" s="457"/>
      <c r="D120" s="525"/>
      <c r="E120" s="525"/>
      <c r="G120" s="156"/>
      <c r="H120" s="152"/>
      <c r="I120" s="152"/>
    </row>
    <row r="121" spans="1:9" ht="18" customHeight="1" x14ac:dyDescent="0.25">
      <c r="A121" s="148" t="s">
        <v>85</v>
      </c>
      <c r="B121" s="497" t="s">
        <v>25</v>
      </c>
      <c r="C121" s="345">
        <v>500</v>
      </c>
      <c r="D121" s="364">
        <f>(139200*0.05)+139200</f>
        <v>146160</v>
      </c>
      <c r="E121" s="364">
        <f t="shared" si="7"/>
        <v>73080000</v>
      </c>
      <c r="G121" s="156"/>
      <c r="H121" s="152"/>
      <c r="I121" s="152"/>
    </row>
    <row r="122" spans="1:9" ht="18" customHeight="1" x14ac:dyDescent="0.25">
      <c r="A122" s="148" t="s">
        <v>86</v>
      </c>
      <c r="B122" s="304" t="s">
        <v>64</v>
      </c>
      <c r="C122" s="345">
        <v>10000</v>
      </c>
      <c r="D122" s="364">
        <f>(75*0.05)+75</f>
        <v>78.75</v>
      </c>
      <c r="E122" s="364">
        <f t="shared" si="7"/>
        <v>787500</v>
      </c>
      <c r="G122" s="156"/>
      <c r="H122" s="152"/>
      <c r="I122" s="152"/>
    </row>
    <row r="123" spans="1:9" ht="18" customHeight="1" x14ac:dyDescent="0.25">
      <c r="A123" s="148" t="s">
        <v>88</v>
      </c>
      <c r="B123" s="304" t="s">
        <v>64</v>
      </c>
      <c r="C123" s="345">
        <v>10000</v>
      </c>
      <c r="D123" s="364">
        <f>(342*0.05)+342</f>
        <v>359.1</v>
      </c>
      <c r="E123" s="364">
        <f t="shared" si="7"/>
        <v>3591000</v>
      </c>
      <c r="G123" s="156"/>
      <c r="H123" s="152"/>
      <c r="I123" s="152"/>
    </row>
    <row r="124" spans="1:9" ht="18" customHeight="1" x14ac:dyDescent="0.25">
      <c r="A124" s="148" t="s">
        <v>89</v>
      </c>
      <c r="B124" s="304" t="s">
        <v>64</v>
      </c>
      <c r="C124" s="345">
        <v>1000</v>
      </c>
      <c r="D124" s="364">
        <f>(98*0.05)+98</f>
        <v>102.9</v>
      </c>
      <c r="E124" s="364">
        <f t="shared" si="7"/>
        <v>102900</v>
      </c>
      <c r="G124" s="156"/>
      <c r="H124" s="152"/>
      <c r="I124" s="152"/>
    </row>
    <row r="125" spans="1:9" ht="18" customHeight="1" x14ac:dyDescent="0.25">
      <c r="A125" s="148" t="s">
        <v>90</v>
      </c>
      <c r="B125" s="304" t="s">
        <v>91</v>
      </c>
      <c r="C125" s="345">
        <v>10000</v>
      </c>
      <c r="D125" s="364">
        <f>(3881*0.05)+3881</f>
        <v>4075.05</v>
      </c>
      <c r="E125" s="364">
        <f t="shared" si="7"/>
        <v>40750500</v>
      </c>
      <c r="G125" s="156"/>
      <c r="H125" s="152"/>
      <c r="I125" s="152"/>
    </row>
    <row r="126" spans="1:9" ht="18" customHeight="1" x14ac:dyDescent="0.25">
      <c r="A126" s="148" t="s">
        <v>92</v>
      </c>
      <c r="B126" s="304" t="s">
        <v>6</v>
      </c>
      <c r="C126" s="345">
        <v>10000</v>
      </c>
      <c r="D126" s="364">
        <f>(3346*0.05)+3346</f>
        <v>3513.3</v>
      </c>
      <c r="E126" s="364">
        <f t="shared" ref="E126:E157" si="8">D126*C126</f>
        <v>35133000</v>
      </c>
      <c r="G126" s="156"/>
      <c r="H126" s="152"/>
      <c r="I126" s="152"/>
    </row>
    <row r="127" spans="1:9" ht="18" customHeight="1" x14ac:dyDescent="0.25">
      <c r="A127" s="148" t="s">
        <v>96</v>
      </c>
      <c r="B127" s="304" t="s">
        <v>64</v>
      </c>
      <c r="C127" s="345">
        <v>5000</v>
      </c>
      <c r="D127" s="364">
        <f>(98*0.05)+98</f>
        <v>102.9</v>
      </c>
      <c r="E127" s="364">
        <f t="shared" si="8"/>
        <v>514500</v>
      </c>
      <c r="G127" s="156"/>
      <c r="H127" s="152"/>
      <c r="I127" s="152"/>
    </row>
    <row r="128" spans="1:9" ht="18" customHeight="1" x14ac:dyDescent="0.25">
      <c r="A128" s="148" t="s">
        <v>72</v>
      </c>
      <c r="B128" s="304" t="s">
        <v>64</v>
      </c>
      <c r="C128" s="345">
        <v>10000</v>
      </c>
      <c r="D128" s="364">
        <f>(98*0.05)+98</f>
        <v>102.9</v>
      </c>
      <c r="E128" s="364">
        <f t="shared" si="8"/>
        <v>1029000</v>
      </c>
      <c r="G128" s="156"/>
      <c r="H128" s="152"/>
      <c r="I128" s="152"/>
    </row>
    <row r="129" spans="1:9" ht="18" customHeight="1" x14ac:dyDescent="0.25">
      <c r="A129" s="148" t="s">
        <v>74</v>
      </c>
      <c r="B129" s="304" t="s">
        <v>64</v>
      </c>
      <c r="C129" s="345">
        <v>5000</v>
      </c>
      <c r="D129" s="364">
        <f>(83*0.05)+83</f>
        <v>87.15</v>
      </c>
      <c r="E129" s="364">
        <f t="shared" si="8"/>
        <v>435750</v>
      </c>
      <c r="G129" s="156"/>
      <c r="H129" s="152"/>
      <c r="I129" s="152"/>
    </row>
    <row r="130" spans="1:9" ht="18" customHeight="1" x14ac:dyDescent="0.25">
      <c r="A130" s="148" t="s">
        <v>75</v>
      </c>
      <c r="B130" s="304" t="s">
        <v>64</v>
      </c>
      <c r="C130" s="345">
        <v>10000</v>
      </c>
      <c r="D130" s="364">
        <f>(185*0.05)+185</f>
        <v>194.25</v>
      </c>
      <c r="E130" s="364">
        <f t="shared" si="8"/>
        <v>1942500</v>
      </c>
      <c r="G130" s="156"/>
      <c r="H130" s="152"/>
      <c r="I130" s="152"/>
    </row>
    <row r="131" spans="1:9" ht="18" customHeight="1" x14ac:dyDescent="0.25">
      <c r="A131" s="148" t="s">
        <v>98</v>
      </c>
      <c r="B131" s="304" t="s">
        <v>64</v>
      </c>
      <c r="C131" s="345">
        <v>10000</v>
      </c>
      <c r="D131" s="364">
        <f>(92*0.05)+92</f>
        <v>96.6</v>
      </c>
      <c r="E131" s="364">
        <f t="shared" si="8"/>
        <v>966000</v>
      </c>
      <c r="G131" s="156"/>
      <c r="H131" s="152"/>
      <c r="I131" s="152"/>
    </row>
    <row r="132" spans="1:9" ht="18" customHeight="1" x14ac:dyDescent="0.25">
      <c r="A132" s="148" t="s">
        <v>99</v>
      </c>
      <c r="B132" s="304" t="s">
        <v>64</v>
      </c>
      <c r="C132" s="345">
        <v>50000</v>
      </c>
      <c r="D132" s="364">
        <f>(225*0.05)+225</f>
        <v>236.25</v>
      </c>
      <c r="E132" s="364">
        <f t="shared" si="8"/>
        <v>11812500</v>
      </c>
      <c r="G132" s="156"/>
      <c r="H132" s="152"/>
      <c r="I132" s="152"/>
    </row>
    <row r="133" spans="1:9" ht="18" customHeight="1" x14ac:dyDescent="0.25">
      <c r="A133" s="148" t="s">
        <v>100</v>
      </c>
      <c r="B133" s="304" t="s">
        <v>64</v>
      </c>
      <c r="C133" s="345">
        <v>30000</v>
      </c>
      <c r="D133" s="364">
        <f>(225*0.05)+225</f>
        <v>236.25</v>
      </c>
      <c r="E133" s="364">
        <f t="shared" si="8"/>
        <v>7087500</v>
      </c>
      <c r="G133" s="156"/>
      <c r="H133" s="152"/>
      <c r="I133" s="152"/>
    </row>
    <row r="134" spans="1:9" ht="18" customHeight="1" x14ac:dyDescent="0.25">
      <c r="A134" s="148" t="s">
        <v>103</v>
      </c>
      <c r="B134" s="304" t="s">
        <v>64</v>
      </c>
      <c r="C134" s="345">
        <v>40000</v>
      </c>
      <c r="D134" s="364">
        <f>(60*0.05)+60</f>
        <v>63</v>
      </c>
      <c r="E134" s="364">
        <f t="shared" si="8"/>
        <v>2520000</v>
      </c>
      <c r="G134" s="156"/>
      <c r="H134" s="152"/>
      <c r="I134" s="152"/>
    </row>
    <row r="135" spans="1:9" ht="18" customHeight="1" x14ac:dyDescent="0.25">
      <c r="A135" s="148" t="s">
        <v>104</v>
      </c>
      <c r="B135" s="304" t="s">
        <v>64</v>
      </c>
      <c r="C135" s="345">
        <v>2000</v>
      </c>
      <c r="D135" s="364">
        <f>(98*0.05)+98</f>
        <v>102.9</v>
      </c>
      <c r="E135" s="364">
        <f t="shared" si="8"/>
        <v>205800</v>
      </c>
      <c r="G135" s="156"/>
      <c r="H135" s="152"/>
      <c r="I135" s="152"/>
    </row>
    <row r="136" spans="1:9" ht="18" customHeight="1" x14ac:dyDescent="0.25">
      <c r="A136" s="148" t="s">
        <v>105</v>
      </c>
      <c r="B136" s="304" t="s">
        <v>64</v>
      </c>
      <c r="C136" s="345">
        <v>2000</v>
      </c>
      <c r="D136" s="364">
        <f>(98*0.05)+98</f>
        <v>102.9</v>
      </c>
      <c r="E136" s="364">
        <f t="shared" si="8"/>
        <v>205800</v>
      </c>
      <c r="G136" s="156"/>
      <c r="H136" s="152"/>
      <c r="I136" s="152"/>
    </row>
    <row r="137" spans="1:9" ht="18" customHeight="1" x14ac:dyDescent="0.25">
      <c r="A137" s="148" t="s">
        <v>106</v>
      </c>
      <c r="B137" s="304" t="s">
        <v>64</v>
      </c>
      <c r="C137" s="345">
        <v>2000</v>
      </c>
      <c r="D137" s="364">
        <f>(98*0.05)+98</f>
        <v>102.9</v>
      </c>
      <c r="E137" s="364">
        <f t="shared" si="8"/>
        <v>205800</v>
      </c>
      <c r="G137" s="156"/>
      <c r="H137" s="152"/>
      <c r="I137" s="152"/>
    </row>
    <row r="138" spans="1:9" ht="18" customHeight="1" x14ac:dyDescent="0.25">
      <c r="A138" s="148" t="s">
        <v>107</v>
      </c>
      <c r="B138" s="304" t="s">
        <v>64</v>
      </c>
      <c r="C138" s="345">
        <v>3000</v>
      </c>
      <c r="D138" s="364">
        <f>(75*0.05)+75</f>
        <v>78.75</v>
      </c>
      <c r="E138" s="364">
        <f t="shared" si="8"/>
        <v>236250</v>
      </c>
      <c r="G138" s="156"/>
      <c r="H138" s="152"/>
      <c r="I138" s="152"/>
    </row>
    <row r="139" spans="1:9" ht="18" customHeight="1" x14ac:dyDescent="0.25">
      <c r="A139" s="148" t="s">
        <v>108</v>
      </c>
      <c r="B139" s="304" t="s">
        <v>64</v>
      </c>
      <c r="C139" s="345">
        <v>10000</v>
      </c>
      <c r="D139" s="364">
        <f>(98*0.05)+98</f>
        <v>102.9</v>
      </c>
      <c r="E139" s="364">
        <f t="shared" si="8"/>
        <v>1029000</v>
      </c>
      <c r="G139" s="156"/>
      <c r="H139" s="152"/>
      <c r="I139" s="152"/>
    </row>
    <row r="140" spans="1:9" ht="18" customHeight="1" x14ac:dyDescent="0.25">
      <c r="A140" s="148" t="s">
        <v>109</v>
      </c>
      <c r="B140" s="304" t="s">
        <v>64</v>
      </c>
      <c r="C140" s="345">
        <v>20000</v>
      </c>
      <c r="D140" s="364">
        <f>(97*0.05)+97</f>
        <v>101.85</v>
      </c>
      <c r="E140" s="364">
        <f t="shared" si="8"/>
        <v>2037000</v>
      </c>
      <c r="G140" s="156"/>
      <c r="H140" s="152"/>
      <c r="I140" s="152"/>
    </row>
    <row r="141" spans="1:9" ht="18" customHeight="1" x14ac:dyDescent="0.25">
      <c r="A141" s="148" t="s">
        <v>110</v>
      </c>
      <c r="B141" s="304" t="s">
        <v>64</v>
      </c>
      <c r="C141" s="345">
        <v>50000</v>
      </c>
      <c r="D141" s="364">
        <f>(75*0.05)+75</f>
        <v>78.75</v>
      </c>
      <c r="E141" s="364">
        <f t="shared" si="8"/>
        <v>3937500</v>
      </c>
      <c r="G141" s="156"/>
      <c r="H141" s="152"/>
      <c r="I141" s="152"/>
    </row>
    <row r="142" spans="1:9" ht="18" customHeight="1" x14ac:dyDescent="0.25">
      <c r="A142" s="148" t="s">
        <v>111</v>
      </c>
      <c r="B142" s="304" t="s">
        <v>64</v>
      </c>
      <c r="C142" s="345">
        <v>1000</v>
      </c>
      <c r="D142" s="364">
        <f>(95*0.05)+95</f>
        <v>99.75</v>
      </c>
      <c r="E142" s="364">
        <f t="shared" si="8"/>
        <v>99750</v>
      </c>
      <c r="G142" s="156"/>
      <c r="H142" s="152"/>
      <c r="I142" s="152"/>
    </row>
    <row r="143" spans="1:9" ht="24" customHeight="1" x14ac:dyDescent="0.25">
      <c r="A143" s="147" t="s">
        <v>112</v>
      </c>
      <c r="B143" s="304" t="s">
        <v>64</v>
      </c>
      <c r="C143" s="345">
        <v>1000</v>
      </c>
      <c r="D143" s="364">
        <f>(98*0.05)+98</f>
        <v>102.9</v>
      </c>
      <c r="E143" s="364">
        <f t="shared" si="8"/>
        <v>102900</v>
      </c>
      <c r="G143" s="156"/>
      <c r="H143" s="152"/>
      <c r="I143" s="152"/>
    </row>
    <row r="144" spans="1:9" ht="18" customHeight="1" x14ac:dyDescent="0.25">
      <c r="A144" s="148" t="s">
        <v>113</v>
      </c>
      <c r="B144" s="304" t="s">
        <v>64</v>
      </c>
      <c r="C144" s="345">
        <v>40000</v>
      </c>
      <c r="D144" s="364">
        <f>(95*0.05)+95</f>
        <v>99.75</v>
      </c>
      <c r="E144" s="364">
        <f t="shared" si="8"/>
        <v>3990000</v>
      </c>
      <c r="G144" s="156"/>
      <c r="H144" s="152"/>
      <c r="I144" s="152"/>
    </row>
    <row r="145" spans="1:9" ht="18" customHeight="1" x14ac:dyDescent="0.25">
      <c r="A145" s="148" t="s">
        <v>116</v>
      </c>
      <c r="B145" s="304" t="s">
        <v>64</v>
      </c>
      <c r="C145" s="345">
        <v>1000</v>
      </c>
      <c r="D145" s="364">
        <f>(75*0.05)+75</f>
        <v>78.75</v>
      </c>
      <c r="E145" s="364">
        <f t="shared" si="8"/>
        <v>78750</v>
      </c>
      <c r="G145" s="156"/>
      <c r="H145" s="152"/>
      <c r="I145" s="152"/>
    </row>
    <row r="146" spans="1:9" ht="18" customHeight="1" x14ac:dyDescent="0.25">
      <c r="A146" s="148" t="s">
        <v>117</v>
      </c>
      <c r="B146" s="304" t="s">
        <v>64</v>
      </c>
      <c r="C146" s="345">
        <v>50000</v>
      </c>
      <c r="D146" s="364">
        <f>(84*0.05)+84</f>
        <v>88.2</v>
      </c>
      <c r="E146" s="364">
        <f t="shared" si="8"/>
        <v>4410000</v>
      </c>
      <c r="G146" s="156"/>
      <c r="H146" s="152"/>
      <c r="I146" s="152"/>
    </row>
    <row r="147" spans="1:9" ht="18" customHeight="1" x14ac:dyDescent="0.25">
      <c r="A147" s="148" t="s">
        <v>118</v>
      </c>
      <c r="B147" s="304" t="s">
        <v>64</v>
      </c>
      <c r="C147" s="345">
        <v>40000</v>
      </c>
      <c r="D147" s="364">
        <f>(97*0.05)+97</f>
        <v>101.85</v>
      </c>
      <c r="E147" s="364">
        <f t="shared" si="8"/>
        <v>4074000</v>
      </c>
      <c r="G147" s="156"/>
      <c r="H147" s="152"/>
      <c r="I147" s="152"/>
    </row>
    <row r="148" spans="1:9" ht="18" customHeight="1" x14ac:dyDescent="0.25">
      <c r="A148" s="148" t="s">
        <v>127</v>
      </c>
      <c r="B148" s="304" t="s">
        <v>64</v>
      </c>
      <c r="C148" s="345">
        <v>10000</v>
      </c>
      <c r="D148" s="364">
        <f>(129*0.05)+129</f>
        <v>135.44999999999999</v>
      </c>
      <c r="E148" s="364">
        <f t="shared" si="8"/>
        <v>1354500</v>
      </c>
      <c r="G148" s="156"/>
      <c r="H148" s="152"/>
      <c r="I148" s="152"/>
    </row>
    <row r="149" spans="1:9" ht="18" customHeight="1" x14ac:dyDescent="0.25">
      <c r="A149" s="148" t="s">
        <v>125</v>
      </c>
      <c r="B149" s="304" t="s">
        <v>64</v>
      </c>
      <c r="C149" s="345">
        <v>20000</v>
      </c>
      <c r="D149" s="364">
        <f>(110*0.05)+110</f>
        <v>115.5</v>
      </c>
      <c r="E149" s="364">
        <f t="shared" si="8"/>
        <v>2310000</v>
      </c>
      <c r="G149" s="156"/>
      <c r="H149" s="152"/>
      <c r="I149" s="152"/>
    </row>
    <row r="150" spans="1:9" ht="18" customHeight="1" x14ac:dyDescent="0.25">
      <c r="A150" s="148" t="s">
        <v>157</v>
      </c>
      <c r="B150" s="304" t="s">
        <v>6</v>
      </c>
      <c r="C150" s="345">
        <v>200</v>
      </c>
      <c r="D150" s="364">
        <f>(35000*0.05)+35000</f>
        <v>36750</v>
      </c>
      <c r="E150" s="364">
        <f t="shared" si="8"/>
        <v>7350000</v>
      </c>
      <c r="G150" s="156"/>
      <c r="H150" s="152"/>
      <c r="I150" s="152"/>
    </row>
    <row r="151" spans="1:9" ht="18" customHeight="1" x14ac:dyDescent="0.25">
      <c r="A151" s="148" t="s">
        <v>119</v>
      </c>
      <c r="B151" s="304" t="s">
        <v>64</v>
      </c>
      <c r="C151" s="345">
        <v>50000</v>
      </c>
      <c r="D151" s="364">
        <f>(65*0.05)+65</f>
        <v>68.25</v>
      </c>
      <c r="E151" s="364">
        <f t="shared" si="8"/>
        <v>3412500</v>
      </c>
      <c r="G151" s="156"/>
      <c r="H151" s="152"/>
      <c r="I151" s="152"/>
    </row>
    <row r="152" spans="1:9" ht="18" customHeight="1" x14ac:dyDescent="0.25">
      <c r="A152" s="148" t="s">
        <v>120</v>
      </c>
      <c r="B152" s="304" t="s">
        <v>64</v>
      </c>
      <c r="C152" s="345">
        <v>20000</v>
      </c>
      <c r="D152" s="364">
        <f>(65*0.05)+65</f>
        <v>68.25</v>
      </c>
      <c r="E152" s="364">
        <f t="shared" si="8"/>
        <v>1365000</v>
      </c>
      <c r="G152" s="156"/>
      <c r="H152" s="152"/>
      <c r="I152" s="152"/>
    </row>
    <row r="153" spans="1:9" ht="18" customHeight="1" x14ac:dyDescent="0.25">
      <c r="A153" s="148" t="s">
        <v>122</v>
      </c>
      <c r="B153" s="304" t="s">
        <v>64</v>
      </c>
      <c r="C153" s="345">
        <v>40000</v>
      </c>
      <c r="D153" s="364">
        <f>(65*0.05)+65</f>
        <v>68.25</v>
      </c>
      <c r="E153" s="364">
        <f t="shared" si="8"/>
        <v>2730000</v>
      </c>
      <c r="G153" s="156"/>
      <c r="H153" s="152"/>
      <c r="I153" s="152"/>
    </row>
    <row r="154" spans="1:9" ht="18" customHeight="1" x14ac:dyDescent="0.25">
      <c r="A154" s="148" t="s">
        <v>1836</v>
      </c>
      <c r="B154" s="304" t="s">
        <v>64</v>
      </c>
      <c r="C154" s="345">
        <v>20000</v>
      </c>
      <c r="D154" s="364">
        <f>(87*0.05)+87</f>
        <v>91.35</v>
      </c>
      <c r="E154" s="364">
        <f t="shared" si="8"/>
        <v>1827000</v>
      </c>
      <c r="G154" s="156"/>
      <c r="H154" s="152"/>
      <c r="I154" s="152"/>
    </row>
    <row r="155" spans="1:9" ht="18" customHeight="1" x14ac:dyDescent="0.25">
      <c r="A155" s="148" t="s">
        <v>101</v>
      </c>
      <c r="B155" s="304" t="s">
        <v>64</v>
      </c>
      <c r="C155" s="345">
        <v>40000</v>
      </c>
      <c r="D155" s="364">
        <f>(75*0.05)+75</f>
        <v>78.75</v>
      </c>
      <c r="E155" s="364">
        <f t="shared" si="8"/>
        <v>3150000</v>
      </c>
      <c r="G155" s="156"/>
      <c r="H155" s="152"/>
      <c r="I155" s="152"/>
    </row>
    <row r="156" spans="1:9" ht="18" customHeight="1" x14ac:dyDescent="0.25">
      <c r="A156" s="148" t="s">
        <v>123</v>
      </c>
      <c r="B156" s="304" t="s">
        <v>6</v>
      </c>
      <c r="C156" s="345">
        <v>5000</v>
      </c>
      <c r="D156" s="364">
        <f>(25*0.05)+25</f>
        <v>26.25</v>
      </c>
      <c r="E156" s="364">
        <f t="shared" si="8"/>
        <v>131250</v>
      </c>
      <c r="G156" s="156"/>
      <c r="H156" s="152"/>
      <c r="I156" s="152"/>
    </row>
    <row r="157" spans="1:9" ht="18" customHeight="1" x14ac:dyDescent="0.25">
      <c r="A157" s="148" t="s">
        <v>102</v>
      </c>
      <c r="B157" s="304" t="s">
        <v>64</v>
      </c>
      <c r="C157" s="345">
        <v>20000</v>
      </c>
      <c r="D157" s="364">
        <f>(111*0.05)+111</f>
        <v>116.55</v>
      </c>
      <c r="E157" s="364">
        <f t="shared" si="8"/>
        <v>2331000</v>
      </c>
      <c r="G157" s="156"/>
      <c r="H157" s="152"/>
      <c r="I157" s="152"/>
    </row>
    <row r="158" spans="1:9" ht="18" customHeight="1" x14ac:dyDescent="0.25">
      <c r="A158" s="148" t="s">
        <v>129</v>
      </c>
      <c r="B158" s="304" t="s">
        <v>64</v>
      </c>
      <c r="C158" s="345">
        <v>10000</v>
      </c>
      <c r="D158" s="364">
        <f>(75*0.05)+75</f>
        <v>78.75</v>
      </c>
      <c r="E158" s="364">
        <f t="shared" ref="E158:E190" si="9">D158*C158</f>
        <v>787500</v>
      </c>
      <c r="G158" s="156"/>
      <c r="H158" s="152"/>
      <c r="I158" s="152"/>
    </row>
    <row r="159" spans="1:9" ht="18" customHeight="1" x14ac:dyDescent="0.25">
      <c r="A159" s="148" t="s">
        <v>131</v>
      </c>
      <c r="B159" s="304" t="s">
        <v>64</v>
      </c>
      <c r="C159" s="345">
        <v>50000</v>
      </c>
      <c r="D159" s="364">
        <f>(96*0.05)+96</f>
        <v>100.8</v>
      </c>
      <c r="E159" s="364">
        <f t="shared" si="9"/>
        <v>5040000</v>
      </c>
      <c r="G159" s="156"/>
      <c r="H159" s="152"/>
      <c r="I159" s="152"/>
    </row>
    <row r="160" spans="1:9" ht="18" customHeight="1" x14ac:dyDescent="0.25">
      <c r="A160" s="148" t="s">
        <v>155</v>
      </c>
      <c r="B160" s="304" t="s">
        <v>35</v>
      </c>
      <c r="C160" s="345">
        <v>500</v>
      </c>
      <c r="D160" s="364">
        <f>(13500*0.05)+13500</f>
        <v>14175</v>
      </c>
      <c r="E160" s="364">
        <f t="shared" si="9"/>
        <v>7087500</v>
      </c>
      <c r="G160" s="156"/>
      <c r="H160" s="152"/>
      <c r="I160" s="152"/>
    </row>
    <row r="161" spans="1:9" ht="24" customHeight="1" x14ac:dyDescent="0.25">
      <c r="A161" s="147" t="s">
        <v>153</v>
      </c>
      <c r="B161" s="304" t="s">
        <v>35</v>
      </c>
      <c r="C161" s="345">
        <v>600</v>
      </c>
      <c r="D161" s="364">
        <f>(125000*0.05)+125000</f>
        <v>131250</v>
      </c>
      <c r="E161" s="364">
        <f t="shared" si="9"/>
        <v>78750000</v>
      </c>
      <c r="G161" s="156"/>
      <c r="H161" s="152"/>
      <c r="I161" s="152"/>
    </row>
    <row r="162" spans="1:9" ht="18" customHeight="1" x14ac:dyDescent="0.25">
      <c r="A162" s="148" t="s">
        <v>154</v>
      </c>
      <c r="B162" s="304" t="s">
        <v>35</v>
      </c>
      <c r="C162" s="345">
        <v>500</v>
      </c>
      <c r="D162" s="364">
        <f>(12500*0.05)+12500</f>
        <v>13125</v>
      </c>
      <c r="E162" s="364">
        <f t="shared" si="9"/>
        <v>6562500</v>
      </c>
      <c r="G162" s="156"/>
      <c r="H162" s="152"/>
      <c r="I162" s="152"/>
    </row>
    <row r="163" spans="1:9" ht="18" customHeight="1" x14ac:dyDescent="0.25">
      <c r="A163" s="148" t="s">
        <v>150</v>
      </c>
      <c r="B163" s="304" t="s">
        <v>151</v>
      </c>
      <c r="C163" s="345">
        <v>300</v>
      </c>
      <c r="D163" s="364">
        <f>(35000*0.05)+35000</f>
        <v>36750</v>
      </c>
      <c r="E163" s="364">
        <f t="shared" si="9"/>
        <v>11025000</v>
      </c>
      <c r="G163" s="156"/>
      <c r="H163" s="152"/>
      <c r="I163" s="152"/>
    </row>
    <row r="164" spans="1:9" ht="18" customHeight="1" x14ac:dyDescent="0.25">
      <c r="A164" s="148" t="s">
        <v>152</v>
      </c>
      <c r="B164" s="304" t="s">
        <v>35</v>
      </c>
      <c r="C164" s="345">
        <v>300</v>
      </c>
      <c r="D164" s="364">
        <f>(12000*0.05)+12000</f>
        <v>12600</v>
      </c>
      <c r="E164" s="364">
        <f t="shared" si="9"/>
        <v>3780000</v>
      </c>
      <c r="G164" s="156"/>
      <c r="H164" s="152"/>
      <c r="I164" s="152"/>
    </row>
    <row r="165" spans="1:9" ht="26.25" customHeight="1" x14ac:dyDescent="0.25">
      <c r="A165" s="147" t="s">
        <v>124</v>
      </c>
      <c r="B165" s="304" t="s">
        <v>64</v>
      </c>
      <c r="C165" s="345">
        <v>20000</v>
      </c>
      <c r="D165" s="364">
        <f>(64*0.05)+64</f>
        <v>67.2</v>
      </c>
      <c r="E165" s="364">
        <f t="shared" si="9"/>
        <v>1344000</v>
      </c>
      <c r="G165" s="156"/>
      <c r="H165" s="152"/>
      <c r="I165" s="152"/>
    </row>
    <row r="166" spans="1:9" ht="18" customHeight="1" x14ac:dyDescent="0.25">
      <c r="A166" s="148" t="s">
        <v>126</v>
      </c>
      <c r="B166" s="304" t="s">
        <v>64</v>
      </c>
      <c r="C166" s="345">
        <v>20000</v>
      </c>
      <c r="D166" s="364">
        <f>(85*0.05)+85</f>
        <v>89.25</v>
      </c>
      <c r="E166" s="364">
        <f t="shared" si="9"/>
        <v>1785000</v>
      </c>
      <c r="G166" s="156"/>
      <c r="H166" s="152"/>
      <c r="I166" s="152"/>
    </row>
    <row r="167" spans="1:9" ht="18" customHeight="1" x14ac:dyDescent="0.25">
      <c r="A167" s="148" t="s">
        <v>128</v>
      </c>
      <c r="B167" s="304" t="s">
        <v>64</v>
      </c>
      <c r="C167" s="345">
        <v>20000</v>
      </c>
      <c r="D167" s="364">
        <f>(98*0.05)+98</f>
        <v>102.9</v>
      </c>
      <c r="E167" s="364">
        <f t="shared" si="9"/>
        <v>2058000</v>
      </c>
      <c r="G167" s="156"/>
      <c r="H167" s="152"/>
      <c r="I167" s="152"/>
    </row>
    <row r="168" spans="1:9" ht="18" customHeight="1" x14ac:dyDescent="0.25">
      <c r="A168" s="148" t="s">
        <v>121</v>
      </c>
      <c r="B168" s="304" t="s">
        <v>64</v>
      </c>
      <c r="C168" s="345">
        <v>50000</v>
      </c>
      <c r="D168" s="364">
        <f>(98*0.05)+98</f>
        <v>102.9</v>
      </c>
      <c r="E168" s="364">
        <f t="shared" si="9"/>
        <v>5145000</v>
      </c>
      <c r="G168" s="156"/>
      <c r="H168" s="152"/>
      <c r="I168" s="152"/>
    </row>
    <row r="169" spans="1:9" ht="18" customHeight="1" x14ac:dyDescent="0.25">
      <c r="A169" s="148" t="s">
        <v>133</v>
      </c>
      <c r="B169" s="304" t="s">
        <v>64</v>
      </c>
      <c r="C169" s="345">
        <v>20000</v>
      </c>
      <c r="D169" s="364">
        <f>(98*0.05)+98</f>
        <v>102.9</v>
      </c>
      <c r="E169" s="364">
        <f t="shared" si="9"/>
        <v>2058000</v>
      </c>
      <c r="G169" s="156"/>
      <c r="H169" s="152"/>
      <c r="I169" s="152"/>
    </row>
    <row r="170" spans="1:9" ht="23.25" customHeight="1" x14ac:dyDescent="0.25">
      <c r="A170" s="147" t="s">
        <v>135</v>
      </c>
      <c r="B170" s="304" t="s">
        <v>64</v>
      </c>
      <c r="C170" s="345">
        <v>20000</v>
      </c>
      <c r="D170" s="364">
        <f>(64*0.05)+64</f>
        <v>67.2</v>
      </c>
      <c r="E170" s="364">
        <f t="shared" si="9"/>
        <v>1344000</v>
      </c>
      <c r="G170" s="156"/>
      <c r="H170" s="152"/>
      <c r="I170" s="152"/>
    </row>
    <row r="171" spans="1:9" ht="18" customHeight="1" x14ac:dyDescent="0.25">
      <c r="A171" s="147" t="s">
        <v>94</v>
      </c>
      <c r="B171" s="304" t="s">
        <v>64</v>
      </c>
      <c r="C171" s="345">
        <v>200000</v>
      </c>
      <c r="D171" s="364">
        <f>(95*0.05)+95</f>
        <v>99.75</v>
      </c>
      <c r="E171" s="364">
        <f t="shared" si="9"/>
        <v>19950000</v>
      </c>
      <c r="G171" s="156"/>
      <c r="H171" s="152"/>
      <c r="I171" s="152"/>
    </row>
    <row r="172" spans="1:9" ht="18" customHeight="1" x14ac:dyDescent="0.25">
      <c r="A172" s="148" t="s">
        <v>136</v>
      </c>
      <c r="B172" s="304" t="s">
        <v>6</v>
      </c>
      <c r="C172" s="345">
        <v>40000</v>
      </c>
      <c r="D172" s="364">
        <f>(96*0.05)+96</f>
        <v>100.8</v>
      </c>
      <c r="E172" s="364">
        <f t="shared" si="9"/>
        <v>4032000</v>
      </c>
      <c r="G172" s="156"/>
      <c r="H172" s="152"/>
      <c r="I172" s="152"/>
    </row>
    <row r="173" spans="1:9" ht="18" customHeight="1" x14ac:dyDescent="0.25">
      <c r="A173" s="148" t="s">
        <v>137</v>
      </c>
      <c r="B173" s="304" t="s">
        <v>6</v>
      </c>
      <c r="C173" s="345">
        <v>40000</v>
      </c>
      <c r="D173" s="364">
        <f>(96*0.05)+96</f>
        <v>100.8</v>
      </c>
      <c r="E173" s="364">
        <f t="shared" si="9"/>
        <v>4032000</v>
      </c>
      <c r="G173" s="156"/>
      <c r="H173" s="152"/>
      <c r="I173" s="152"/>
    </row>
    <row r="174" spans="1:9" ht="18" customHeight="1" x14ac:dyDescent="0.25">
      <c r="A174" s="148" t="s">
        <v>138</v>
      </c>
      <c r="B174" s="304" t="s">
        <v>6</v>
      </c>
      <c r="C174" s="345">
        <v>40000</v>
      </c>
      <c r="D174" s="364">
        <f>(96*0.05)*96</f>
        <v>460.80000000000007</v>
      </c>
      <c r="E174" s="364">
        <f t="shared" si="9"/>
        <v>18432000.000000004</v>
      </c>
      <c r="G174" s="156"/>
      <c r="H174" s="152"/>
      <c r="I174" s="152"/>
    </row>
    <row r="175" spans="1:9" ht="18" customHeight="1" x14ac:dyDescent="0.25">
      <c r="A175" s="148" t="s">
        <v>139</v>
      </c>
      <c r="B175" s="304" t="s">
        <v>64</v>
      </c>
      <c r="C175" s="345">
        <v>10000</v>
      </c>
      <c r="D175" s="364">
        <f>(64*0.05)+64</f>
        <v>67.2</v>
      </c>
      <c r="E175" s="364">
        <f t="shared" si="9"/>
        <v>672000</v>
      </c>
      <c r="G175" s="156"/>
      <c r="H175" s="152"/>
      <c r="I175" s="152"/>
    </row>
    <row r="176" spans="1:9" ht="18" customHeight="1" x14ac:dyDescent="0.25">
      <c r="A176" s="148" t="s">
        <v>140</v>
      </c>
      <c r="B176" s="304" t="s">
        <v>64</v>
      </c>
      <c r="C176" s="345">
        <v>10000</v>
      </c>
      <c r="D176" s="364">
        <f>(75*0.05)+75</f>
        <v>78.75</v>
      </c>
      <c r="E176" s="364">
        <f t="shared" si="9"/>
        <v>787500</v>
      </c>
      <c r="G176" s="156"/>
      <c r="H176" s="152"/>
      <c r="I176" s="152"/>
    </row>
    <row r="177" spans="1:9" s="153" customFormat="1" ht="18" customHeight="1" x14ac:dyDescent="0.25">
      <c r="A177" s="148" t="s">
        <v>141</v>
      </c>
      <c r="B177" s="783" t="s">
        <v>64</v>
      </c>
      <c r="C177" s="345">
        <v>200000</v>
      </c>
      <c r="D177" s="364">
        <f>(96*0.05)+96</f>
        <v>100.8</v>
      </c>
      <c r="E177" s="364">
        <f t="shared" si="9"/>
        <v>20160000</v>
      </c>
      <c r="G177" s="156"/>
    </row>
    <row r="178" spans="1:9" s="153" customFormat="1" ht="18" customHeight="1" x14ac:dyDescent="0.25">
      <c r="A178" s="194"/>
      <c r="B178" s="784"/>
      <c r="C178" s="457"/>
      <c r="D178" s="525"/>
      <c r="E178" s="525"/>
      <c r="G178" s="156"/>
    </row>
    <row r="179" spans="1:9" s="153" customFormat="1" ht="18" customHeight="1" x14ac:dyDescent="0.25">
      <c r="A179" s="194"/>
      <c r="B179" s="503"/>
      <c r="C179" s="457"/>
      <c r="D179" s="525"/>
      <c r="E179" s="525"/>
      <c r="G179" s="156"/>
    </row>
    <row r="180" spans="1:9" ht="18" customHeight="1" x14ac:dyDescent="0.25">
      <c r="A180" s="148" t="s">
        <v>156</v>
      </c>
      <c r="B180" s="497" t="s">
        <v>35</v>
      </c>
      <c r="C180" s="345">
        <v>300</v>
      </c>
      <c r="D180" s="364">
        <f>(18500*0.05)+18500</f>
        <v>19425</v>
      </c>
      <c r="E180" s="364">
        <f t="shared" si="9"/>
        <v>5827500</v>
      </c>
      <c r="G180" s="156"/>
      <c r="H180" s="152"/>
      <c r="I180" s="152"/>
    </row>
    <row r="181" spans="1:9" ht="18" customHeight="1" x14ac:dyDescent="0.25">
      <c r="A181" s="148" t="s">
        <v>148</v>
      </c>
      <c r="B181" s="304" t="s">
        <v>64</v>
      </c>
      <c r="C181" s="345">
        <v>10000</v>
      </c>
      <c r="D181" s="364">
        <f>(111*0.05)+111</f>
        <v>116.55</v>
      </c>
      <c r="E181" s="364">
        <f t="shared" si="9"/>
        <v>1165500</v>
      </c>
      <c r="G181" s="156"/>
      <c r="H181" s="152"/>
      <c r="I181" s="152"/>
    </row>
    <row r="182" spans="1:9" ht="18" customHeight="1" x14ac:dyDescent="0.25">
      <c r="A182" s="148" t="s">
        <v>142</v>
      </c>
      <c r="B182" s="304" t="s">
        <v>64</v>
      </c>
      <c r="C182" s="345">
        <v>20000</v>
      </c>
      <c r="D182" s="364">
        <f>(64*0.05)+64</f>
        <v>67.2</v>
      </c>
      <c r="E182" s="364">
        <f t="shared" si="9"/>
        <v>1344000</v>
      </c>
      <c r="G182" s="156"/>
      <c r="H182" s="152"/>
      <c r="I182" s="152"/>
    </row>
    <row r="183" spans="1:9" ht="21.75" customHeight="1" x14ac:dyDescent="0.25">
      <c r="A183" s="147" t="s">
        <v>144</v>
      </c>
      <c r="B183" s="304" t="s">
        <v>6</v>
      </c>
      <c r="C183" s="345">
        <v>600</v>
      </c>
      <c r="D183" s="364">
        <f>(3346*0.05)+3346</f>
        <v>3513.3</v>
      </c>
      <c r="E183" s="364">
        <f t="shared" si="9"/>
        <v>2107980</v>
      </c>
      <c r="G183" s="156"/>
      <c r="H183" s="152"/>
      <c r="I183" s="152"/>
    </row>
    <row r="184" spans="1:9" ht="18" customHeight="1" x14ac:dyDescent="0.25">
      <c r="A184" s="148" t="s">
        <v>145</v>
      </c>
      <c r="B184" s="304" t="s">
        <v>64</v>
      </c>
      <c r="C184" s="345">
        <v>2000</v>
      </c>
      <c r="D184" s="364">
        <f>(98*0.05)+98</f>
        <v>102.9</v>
      </c>
      <c r="E184" s="364">
        <f t="shared" si="9"/>
        <v>205800</v>
      </c>
      <c r="G184" s="156"/>
      <c r="H184" s="152"/>
      <c r="I184" s="152"/>
    </row>
    <row r="185" spans="1:9" ht="18" customHeight="1" x14ac:dyDescent="0.25">
      <c r="A185" s="148" t="s">
        <v>146</v>
      </c>
      <c r="B185" s="304" t="s">
        <v>91</v>
      </c>
      <c r="C185" s="345">
        <v>600</v>
      </c>
      <c r="D185" s="364">
        <f>(6860*0.05)+6860</f>
        <v>7203</v>
      </c>
      <c r="E185" s="364">
        <f t="shared" si="9"/>
        <v>4321800</v>
      </c>
      <c r="G185" s="156"/>
      <c r="H185" s="152"/>
      <c r="I185" s="152"/>
    </row>
    <row r="186" spans="1:9" ht="18" customHeight="1" x14ac:dyDescent="0.25">
      <c r="A186" s="148" t="s">
        <v>147</v>
      </c>
      <c r="B186" s="304" t="s">
        <v>64</v>
      </c>
      <c r="C186" s="345">
        <v>30000</v>
      </c>
      <c r="D186" s="364">
        <f>(75*0.05)+75</f>
        <v>78.75</v>
      </c>
      <c r="E186" s="364">
        <f t="shared" si="9"/>
        <v>2362500</v>
      </c>
      <c r="G186" s="156"/>
      <c r="H186" s="152"/>
      <c r="I186" s="152"/>
    </row>
    <row r="187" spans="1:9" ht="18" customHeight="1" x14ac:dyDescent="0.25">
      <c r="A187" s="148" t="s">
        <v>114</v>
      </c>
      <c r="B187" s="304" t="s">
        <v>64</v>
      </c>
      <c r="C187" s="345">
        <v>200000</v>
      </c>
      <c r="D187" s="364">
        <f>(75*0.05)+75</f>
        <v>78.75</v>
      </c>
      <c r="E187" s="364">
        <f t="shared" si="9"/>
        <v>15750000</v>
      </c>
      <c r="G187" s="156"/>
      <c r="H187" s="152"/>
      <c r="I187" s="152"/>
    </row>
    <row r="188" spans="1:9" ht="18" customHeight="1" x14ac:dyDescent="0.25">
      <c r="A188" s="148" t="s">
        <v>149</v>
      </c>
      <c r="B188" s="304" t="s">
        <v>14</v>
      </c>
      <c r="C188" s="345">
        <v>10000</v>
      </c>
      <c r="D188" s="364">
        <f>(98*0.05)+98</f>
        <v>102.9</v>
      </c>
      <c r="E188" s="364">
        <f t="shared" si="9"/>
        <v>1029000</v>
      </c>
      <c r="G188" s="156"/>
      <c r="H188" s="152"/>
      <c r="I188" s="152"/>
    </row>
    <row r="189" spans="1:9" ht="18" customHeight="1" x14ac:dyDescent="0.25">
      <c r="A189" s="148" t="s">
        <v>115</v>
      </c>
      <c r="B189" s="304" t="s">
        <v>64</v>
      </c>
      <c r="C189" s="345">
        <v>9000</v>
      </c>
      <c r="D189" s="364">
        <f>(104*0.05)+104</f>
        <v>109.2</v>
      </c>
      <c r="E189" s="364">
        <f t="shared" si="9"/>
        <v>982800</v>
      </c>
      <c r="G189" s="156"/>
      <c r="H189" s="152"/>
      <c r="I189" s="152"/>
    </row>
    <row r="190" spans="1:9" ht="18" customHeight="1" x14ac:dyDescent="0.25">
      <c r="A190" s="148" t="s">
        <v>97</v>
      </c>
      <c r="B190" s="304" t="s">
        <v>64</v>
      </c>
      <c r="C190" s="345">
        <v>40000</v>
      </c>
      <c r="D190" s="364">
        <f>(97*0.05)+97</f>
        <v>101.85</v>
      </c>
      <c r="E190" s="364">
        <f t="shared" si="9"/>
        <v>4074000</v>
      </c>
      <c r="G190" s="156"/>
      <c r="H190" s="152"/>
      <c r="I190" s="152"/>
    </row>
    <row r="191" spans="1:9" ht="18" customHeight="1" x14ac:dyDescent="0.25">
      <c r="A191" s="148" t="s">
        <v>52</v>
      </c>
      <c r="B191" s="304" t="s">
        <v>6</v>
      </c>
      <c r="C191" s="345">
        <v>40</v>
      </c>
      <c r="D191" s="364">
        <v>248062.5</v>
      </c>
      <c r="E191" s="364">
        <f t="shared" ref="E191:E198" si="10">C191*D191</f>
        <v>9922500</v>
      </c>
      <c r="G191" s="156"/>
      <c r="H191" s="152"/>
      <c r="I191" s="152"/>
    </row>
    <row r="192" spans="1:9" ht="18" customHeight="1" x14ac:dyDescent="0.25">
      <c r="A192" s="148" t="s">
        <v>49</v>
      </c>
      <c r="B192" s="304" t="s">
        <v>6</v>
      </c>
      <c r="C192" s="345">
        <v>10</v>
      </c>
      <c r="D192" s="364">
        <v>248062.5</v>
      </c>
      <c r="E192" s="364">
        <f t="shared" si="10"/>
        <v>2480625</v>
      </c>
      <c r="G192" s="156"/>
      <c r="H192" s="152"/>
      <c r="I192" s="152"/>
    </row>
    <row r="193" spans="1:9" ht="18" customHeight="1" x14ac:dyDescent="0.25">
      <c r="A193" s="148" t="s">
        <v>53</v>
      </c>
      <c r="B193" s="304" t="s">
        <v>6</v>
      </c>
      <c r="C193" s="345">
        <v>40</v>
      </c>
      <c r="D193" s="364">
        <v>237258</v>
      </c>
      <c r="E193" s="364">
        <f t="shared" si="10"/>
        <v>9490320</v>
      </c>
      <c r="G193" s="156"/>
      <c r="H193" s="152"/>
      <c r="I193" s="152"/>
    </row>
    <row r="194" spans="1:9" ht="18" customHeight="1" x14ac:dyDescent="0.25">
      <c r="A194" s="148" t="s">
        <v>51</v>
      </c>
      <c r="B194" s="304" t="s">
        <v>6</v>
      </c>
      <c r="C194" s="345">
        <v>30</v>
      </c>
      <c r="D194" s="364">
        <v>234832.5</v>
      </c>
      <c r="E194" s="364">
        <f t="shared" si="10"/>
        <v>7044975</v>
      </c>
      <c r="G194" s="156"/>
      <c r="H194" s="152"/>
      <c r="I194" s="152"/>
    </row>
    <row r="195" spans="1:9" ht="18" customHeight="1" x14ac:dyDescent="0.25">
      <c r="A195" s="148" t="s">
        <v>114</v>
      </c>
      <c r="B195" s="304" t="s">
        <v>64</v>
      </c>
      <c r="C195" s="345">
        <v>150000</v>
      </c>
      <c r="D195" s="364">
        <v>82.6875</v>
      </c>
      <c r="E195" s="364">
        <f t="shared" si="10"/>
        <v>12403125</v>
      </c>
      <c r="G195" s="156"/>
      <c r="H195" s="152"/>
      <c r="I195" s="152"/>
    </row>
    <row r="196" spans="1:9" ht="18" customHeight="1" x14ac:dyDescent="0.25">
      <c r="A196" s="148" t="s">
        <v>149</v>
      </c>
      <c r="B196" s="304" t="s">
        <v>14</v>
      </c>
      <c r="C196" s="345">
        <v>9000</v>
      </c>
      <c r="D196" s="364">
        <v>108.04500000000002</v>
      </c>
      <c r="E196" s="364">
        <f t="shared" si="10"/>
        <v>972405.00000000012</v>
      </c>
      <c r="G196" s="156"/>
      <c r="H196" s="152"/>
      <c r="I196" s="152"/>
    </row>
    <row r="197" spans="1:9" ht="18" customHeight="1" x14ac:dyDescent="0.25">
      <c r="A197" s="148" t="s">
        <v>115</v>
      </c>
      <c r="B197" s="304" t="s">
        <v>64</v>
      </c>
      <c r="C197" s="345">
        <v>20000</v>
      </c>
      <c r="D197" s="364">
        <v>114.66000000000001</v>
      </c>
      <c r="E197" s="364">
        <f t="shared" si="10"/>
        <v>2293200</v>
      </c>
      <c r="G197" s="156"/>
      <c r="H197" s="152"/>
      <c r="I197" s="152"/>
    </row>
    <row r="198" spans="1:9" ht="18" customHeight="1" x14ac:dyDescent="0.25">
      <c r="A198" s="148" t="s">
        <v>97</v>
      </c>
      <c r="B198" s="365" t="s">
        <v>64</v>
      </c>
      <c r="C198" s="366">
        <v>20000</v>
      </c>
      <c r="D198" s="364">
        <v>106.9425</v>
      </c>
      <c r="E198" s="364">
        <f t="shared" si="10"/>
        <v>2138850</v>
      </c>
      <c r="G198" s="156"/>
      <c r="H198" s="152"/>
      <c r="I198" s="152"/>
    </row>
    <row r="199" spans="1:9" ht="18" customHeight="1" x14ac:dyDescent="0.25">
      <c r="A199" s="367"/>
      <c r="B199" s="326"/>
      <c r="C199" s="368"/>
      <c r="D199" s="303" t="s">
        <v>284</v>
      </c>
      <c r="E199" s="369">
        <f>SUM(E3:E198)</f>
        <v>1442527175</v>
      </c>
      <c r="H199" s="152"/>
      <c r="I199" s="152"/>
    </row>
    <row r="200" spans="1:9" ht="18" customHeight="1" x14ac:dyDescent="0.25">
      <c r="A200" s="367"/>
      <c r="B200" s="190"/>
      <c r="C200" s="370"/>
      <c r="D200" s="303" t="s">
        <v>159</v>
      </c>
      <c r="E200" s="192">
        <f>E199*0.16</f>
        <v>230804348</v>
      </c>
      <c r="H200" s="152"/>
      <c r="I200" s="152"/>
    </row>
    <row r="201" spans="1:9" ht="18" customHeight="1" x14ac:dyDescent="0.25">
      <c r="A201" s="367"/>
      <c r="B201" s="302"/>
      <c r="C201" s="371"/>
      <c r="D201" s="303" t="s">
        <v>298</v>
      </c>
      <c r="E201" s="192">
        <f>SUM(E199:E200)</f>
        <v>1673331523</v>
      </c>
      <c r="H201" s="152"/>
      <c r="I201" s="152"/>
    </row>
  </sheetData>
  <sortState ref="A3:E177">
    <sortCondition ref="A3"/>
  </sortState>
  <mergeCells count="2">
    <mergeCell ref="A1:E1"/>
    <mergeCell ref="A90:E90"/>
  </mergeCells>
  <pageMargins left="0.7" right="0.7" top="0.75" bottom="0.75" header="0.3" footer="0.3"/>
  <pageSetup paperSize="5"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D85"/>
  <sheetViews>
    <sheetView view="pageLayout" topLeftCell="A70" zoomScale="70" zoomScalePageLayoutView="70" workbookViewId="0">
      <selection activeCell="F88" sqref="F88"/>
    </sheetView>
  </sheetViews>
  <sheetFormatPr baseColWidth="10" defaultRowHeight="12" x14ac:dyDescent="0.2"/>
  <cols>
    <col min="1" max="1" width="11.42578125" style="617"/>
    <col min="2" max="2" width="5.7109375" style="627" bestFit="1" customWidth="1"/>
    <col min="3" max="3" width="50.5703125" style="617" bestFit="1" customWidth="1"/>
    <col min="4" max="4" width="20.42578125" style="617" bestFit="1" customWidth="1"/>
    <col min="5" max="16384" width="11.42578125" style="617"/>
  </cols>
  <sheetData>
    <row r="3" spans="2:4" x14ac:dyDescent="0.2">
      <c r="B3" s="899" t="s">
        <v>554</v>
      </c>
      <c r="C3" s="899"/>
      <c r="D3" s="899"/>
    </row>
    <row r="4" spans="2:4" x14ac:dyDescent="0.2">
      <c r="B4" s="899" t="s">
        <v>1414</v>
      </c>
      <c r="C4" s="899"/>
      <c r="D4" s="899"/>
    </row>
    <row r="5" spans="2:4" ht="17.25" customHeight="1" x14ac:dyDescent="0.2">
      <c r="B5" s="874" t="s">
        <v>346</v>
      </c>
      <c r="C5" s="900" t="s">
        <v>555</v>
      </c>
      <c r="D5" s="900" t="s">
        <v>1415</v>
      </c>
    </row>
    <row r="6" spans="2:4" ht="15" customHeight="1" x14ac:dyDescent="0.2">
      <c r="B6" s="876"/>
      <c r="C6" s="900"/>
      <c r="D6" s="900"/>
    </row>
    <row r="7" spans="2:4" ht="15.75" customHeight="1" x14ac:dyDescent="0.2">
      <c r="B7" s="1008">
        <v>1</v>
      </c>
      <c r="C7" s="618" t="s">
        <v>526</v>
      </c>
      <c r="D7" s="734"/>
    </row>
    <row r="8" spans="2:4" ht="15.75" customHeight="1" x14ac:dyDescent="0.2">
      <c r="B8" s="1008"/>
      <c r="C8" s="619" t="s">
        <v>562</v>
      </c>
      <c r="D8" s="620">
        <v>55534091</v>
      </c>
    </row>
    <row r="9" spans="2:4" ht="15.75" customHeight="1" x14ac:dyDescent="0.2">
      <c r="B9" s="1008"/>
      <c r="C9" s="619" t="s">
        <v>559</v>
      </c>
      <c r="D9" s="620">
        <v>2000000</v>
      </c>
    </row>
    <row r="10" spans="2:4" ht="15.75" customHeight="1" x14ac:dyDescent="0.2">
      <c r="B10" s="1008"/>
      <c r="C10" s="618" t="s">
        <v>284</v>
      </c>
      <c r="D10" s="621">
        <f>SUM(D8:D9)</f>
        <v>57534091</v>
      </c>
    </row>
    <row r="11" spans="2:4" ht="15.75" customHeight="1" x14ac:dyDescent="0.2">
      <c r="B11" s="1008">
        <v>2</v>
      </c>
      <c r="C11" s="618" t="s">
        <v>563</v>
      </c>
      <c r="D11" s="734"/>
    </row>
    <row r="12" spans="2:4" ht="15.75" customHeight="1" x14ac:dyDescent="0.2">
      <c r="B12" s="1008"/>
      <c r="C12" s="619" t="s">
        <v>562</v>
      </c>
      <c r="D12" s="620">
        <v>64973353</v>
      </c>
    </row>
    <row r="13" spans="2:4" ht="15.75" customHeight="1" x14ac:dyDescent="0.2">
      <c r="B13" s="1008"/>
      <c r="C13" s="619" t="s">
        <v>559</v>
      </c>
      <c r="D13" s="620">
        <v>2000000</v>
      </c>
    </row>
    <row r="14" spans="2:4" ht="15.75" customHeight="1" x14ac:dyDescent="0.2">
      <c r="B14" s="1008"/>
      <c r="C14" s="618" t="s">
        <v>284</v>
      </c>
      <c r="D14" s="621">
        <f>SUM(D12:D13)</f>
        <v>66973353</v>
      </c>
    </row>
    <row r="15" spans="2:4" ht="15.75" customHeight="1" x14ac:dyDescent="0.2">
      <c r="B15" s="1008">
        <v>3</v>
      </c>
      <c r="C15" s="618" t="s">
        <v>564</v>
      </c>
      <c r="D15" s="734"/>
    </row>
    <row r="16" spans="2:4" ht="15.75" customHeight="1" x14ac:dyDescent="0.2">
      <c r="B16" s="1008"/>
      <c r="C16" s="619" t="s">
        <v>562</v>
      </c>
      <c r="D16" s="620">
        <v>80041732</v>
      </c>
    </row>
    <row r="17" spans="2:4" ht="15.75" customHeight="1" x14ac:dyDescent="0.2">
      <c r="B17" s="1008"/>
      <c r="C17" s="619" t="s">
        <v>559</v>
      </c>
      <c r="D17" s="620">
        <v>2000000</v>
      </c>
    </row>
    <row r="18" spans="2:4" ht="15.75" customHeight="1" x14ac:dyDescent="0.2">
      <c r="B18" s="1008"/>
      <c r="C18" s="618" t="s">
        <v>284</v>
      </c>
      <c r="D18" s="621">
        <f>SUM(D16:D17)</f>
        <v>82041732</v>
      </c>
    </row>
    <row r="19" spans="2:4" ht="15.75" customHeight="1" x14ac:dyDescent="0.2">
      <c r="B19" s="1008">
        <v>4</v>
      </c>
      <c r="C19" s="618" t="s">
        <v>565</v>
      </c>
      <c r="D19" s="734"/>
    </row>
    <row r="20" spans="2:4" ht="15.75" customHeight="1" x14ac:dyDescent="0.2">
      <c r="B20" s="1008"/>
      <c r="C20" s="619" t="s">
        <v>558</v>
      </c>
      <c r="D20" s="620">
        <v>88898102</v>
      </c>
    </row>
    <row r="21" spans="2:4" ht="15.75" customHeight="1" x14ac:dyDescent="0.2">
      <c r="B21" s="1008"/>
      <c r="C21" s="619" t="s">
        <v>559</v>
      </c>
      <c r="D21" s="620">
        <v>2000000</v>
      </c>
    </row>
    <row r="22" spans="2:4" ht="15.75" customHeight="1" x14ac:dyDescent="0.2">
      <c r="B22" s="1008"/>
      <c r="C22" s="618" t="s">
        <v>560</v>
      </c>
      <c r="D22" s="621">
        <f>SUM(D20:D21)</f>
        <v>90898102</v>
      </c>
    </row>
    <row r="23" spans="2:4" ht="15.75" customHeight="1" x14ac:dyDescent="0.2">
      <c r="B23" s="1008">
        <v>5</v>
      </c>
      <c r="C23" s="618" t="s">
        <v>566</v>
      </c>
      <c r="D23" s="618"/>
    </row>
    <row r="24" spans="2:4" ht="15.75" customHeight="1" x14ac:dyDescent="0.2">
      <c r="B24" s="1008"/>
      <c r="C24" s="619" t="s">
        <v>567</v>
      </c>
      <c r="D24" s="620">
        <v>86265348</v>
      </c>
    </row>
    <row r="25" spans="2:4" ht="15.75" customHeight="1" x14ac:dyDescent="0.2">
      <c r="B25" s="1008"/>
      <c r="C25" s="619" t="s">
        <v>559</v>
      </c>
      <c r="D25" s="620">
        <v>2000000</v>
      </c>
    </row>
    <row r="26" spans="2:4" ht="15.75" customHeight="1" x14ac:dyDescent="0.2">
      <c r="B26" s="1008"/>
      <c r="C26" s="618" t="s">
        <v>560</v>
      </c>
      <c r="D26" s="621">
        <f>SUM(D24:D25)</f>
        <v>88265348</v>
      </c>
    </row>
    <row r="27" spans="2:4" ht="15.75" customHeight="1" x14ac:dyDescent="0.2">
      <c r="B27" s="1008">
        <v>6</v>
      </c>
      <c r="C27" s="618" t="s">
        <v>1684</v>
      </c>
      <c r="D27" s="734"/>
    </row>
    <row r="28" spans="2:4" ht="15.75" customHeight="1" x14ac:dyDescent="0.2">
      <c r="B28" s="1008"/>
      <c r="C28" s="619" t="s">
        <v>562</v>
      </c>
      <c r="D28" s="620">
        <v>57788177</v>
      </c>
    </row>
    <row r="29" spans="2:4" ht="15.75" customHeight="1" x14ac:dyDescent="0.2">
      <c r="B29" s="1008"/>
      <c r="C29" s="619" t="s">
        <v>559</v>
      </c>
      <c r="D29" s="620">
        <v>2000000</v>
      </c>
    </row>
    <row r="30" spans="2:4" ht="15.75" customHeight="1" x14ac:dyDescent="0.2">
      <c r="B30" s="1008"/>
      <c r="C30" s="618" t="s">
        <v>560</v>
      </c>
      <c r="D30" s="621">
        <f>SUM(D28:D29)</f>
        <v>59788177</v>
      </c>
    </row>
    <row r="31" spans="2:4" ht="15.75" customHeight="1" x14ac:dyDescent="0.2">
      <c r="B31" s="1008">
        <v>7</v>
      </c>
      <c r="C31" s="622" t="s">
        <v>569</v>
      </c>
      <c r="D31" s="623"/>
    </row>
    <row r="32" spans="2:4" ht="15.75" customHeight="1" x14ac:dyDescent="0.2">
      <c r="B32" s="1008"/>
      <c r="C32" s="624" t="s">
        <v>558</v>
      </c>
      <c r="D32" s="625">
        <v>77230157</v>
      </c>
    </row>
    <row r="33" spans="2:4" ht="15.75" customHeight="1" x14ac:dyDescent="0.2">
      <c r="B33" s="1008"/>
      <c r="C33" s="624" t="s">
        <v>559</v>
      </c>
      <c r="D33" s="625">
        <v>2000000</v>
      </c>
    </row>
    <row r="34" spans="2:4" ht="15.75" customHeight="1" x14ac:dyDescent="0.2">
      <c r="B34" s="1008"/>
      <c r="C34" s="622" t="s">
        <v>560</v>
      </c>
      <c r="D34" s="626">
        <f>SUM(D32:D33)</f>
        <v>79230157</v>
      </c>
    </row>
    <row r="35" spans="2:4" ht="15.75" customHeight="1" x14ac:dyDescent="0.2">
      <c r="B35" s="1008">
        <v>8</v>
      </c>
      <c r="C35" s="622" t="s">
        <v>571</v>
      </c>
      <c r="D35" s="623"/>
    </row>
    <row r="36" spans="2:4" ht="15.75" customHeight="1" x14ac:dyDescent="0.2">
      <c r="B36" s="1008"/>
      <c r="C36" s="624" t="s">
        <v>558</v>
      </c>
      <c r="D36" s="625">
        <v>99726014</v>
      </c>
    </row>
    <row r="37" spans="2:4" ht="15.75" customHeight="1" x14ac:dyDescent="0.2">
      <c r="B37" s="1008"/>
      <c r="C37" s="624" t="s">
        <v>559</v>
      </c>
      <c r="D37" s="625">
        <v>2000000</v>
      </c>
    </row>
    <row r="38" spans="2:4" ht="15.75" customHeight="1" x14ac:dyDescent="0.2">
      <c r="B38" s="1008"/>
      <c r="C38" s="622" t="s">
        <v>560</v>
      </c>
      <c r="D38" s="626">
        <f>SUM(D36:D37)</f>
        <v>101726014</v>
      </c>
    </row>
    <row r="39" spans="2:4" ht="15.75" customHeight="1" x14ac:dyDescent="0.2">
      <c r="B39" s="1008">
        <v>9</v>
      </c>
      <c r="C39" s="622" t="s">
        <v>573</v>
      </c>
      <c r="D39" s="623"/>
    </row>
    <row r="40" spans="2:4" ht="15.75" customHeight="1" x14ac:dyDescent="0.2">
      <c r="B40" s="1008"/>
      <c r="C40" s="624" t="s">
        <v>558</v>
      </c>
      <c r="D40" s="625">
        <v>71322469</v>
      </c>
    </row>
    <row r="41" spans="2:4" ht="15.75" customHeight="1" x14ac:dyDescent="0.2">
      <c r="B41" s="1008"/>
      <c r="C41" s="624" t="s">
        <v>559</v>
      </c>
      <c r="D41" s="625">
        <v>2000000</v>
      </c>
    </row>
    <row r="42" spans="2:4" ht="15.75" customHeight="1" x14ac:dyDescent="0.2">
      <c r="B42" s="1008"/>
      <c r="C42" s="622" t="s">
        <v>560</v>
      </c>
      <c r="D42" s="626">
        <f>SUM(D40:D41)</f>
        <v>73322469</v>
      </c>
    </row>
    <row r="43" spans="2:4" ht="15.75" customHeight="1" x14ac:dyDescent="0.2">
      <c r="B43" s="1008">
        <v>10</v>
      </c>
      <c r="C43" s="622" t="s">
        <v>574</v>
      </c>
      <c r="D43" s="623"/>
    </row>
    <row r="44" spans="2:4" ht="15.75" customHeight="1" x14ac:dyDescent="0.2">
      <c r="B44" s="1008"/>
      <c r="C44" s="624" t="s">
        <v>558</v>
      </c>
      <c r="D44" s="625">
        <v>68577978</v>
      </c>
    </row>
    <row r="45" spans="2:4" ht="15.75" customHeight="1" x14ac:dyDescent="0.2">
      <c r="B45" s="1008"/>
      <c r="C45" s="624" t="s">
        <v>559</v>
      </c>
      <c r="D45" s="625">
        <v>2000000</v>
      </c>
    </row>
    <row r="46" spans="2:4" ht="15.75" customHeight="1" x14ac:dyDescent="0.2">
      <c r="B46" s="1008"/>
      <c r="C46" s="622" t="s">
        <v>560</v>
      </c>
      <c r="D46" s="626">
        <f>SUM(D44:D45)</f>
        <v>70577978</v>
      </c>
    </row>
    <row r="47" spans="2:4" ht="15.75" customHeight="1" x14ac:dyDescent="0.2">
      <c r="B47" s="1008">
        <v>11</v>
      </c>
      <c r="C47" s="622" t="s">
        <v>577</v>
      </c>
      <c r="D47" s="623"/>
    </row>
    <row r="48" spans="2:4" ht="15.75" customHeight="1" x14ac:dyDescent="0.2">
      <c r="B48" s="1008"/>
      <c r="C48" s="624" t="s">
        <v>558</v>
      </c>
      <c r="D48" s="625">
        <v>85144540</v>
      </c>
    </row>
    <row r="49" spans="2:4" ht="15.75" customHeight="1" x14ac:dyDescent="0.2">
      <c r="B49" s="1008"/>
      <c r="C49" s="624" t="s">
        <v>559</v>
      </c>
      <c r="D49" s="625">
        <v>2000000</v>
      </c>
    </row>
    <row r="50" spans="2:4" ht="15.75" customHeight="1" x14ac:dyDescent="0.2">
      <c r="B50" s="1008"/>
      <c r="C50" s="622" t="s">
        <v>284</v>
      </c>
      <c r="D50" s="626">
        <f>SUM(D48:D49)</f>
        <v>87144540</v>
      </c>
    </row>
    <row r="51" spans="2:4" ht="15.75" customHeight="1" x14ac:dyDescent="0.2">
      <c r="B51" s="1008">
        <v>12</v>
      </c>
      <c r="C51" s="622" t="s">
        <v>358</v>
      </c>
      <c r="D51" s="622"/>
    </row>
    <row r="52" spans="2:4" ht="15.75" customHeight="1" x14ac:dyDescent="0.2">
      <c r="B52" s="1008"/>
      <c r="C52" s="624" t="s">
        <v>558</v>
      </c>
      <c r="D52" s="625">
        <v>32494230</v>
      </c>
    </row>
    <row r="53" spans="2:4" ht="15.75" customHeight="1" x14ac:dyDescent="0.2">
      <c r="B53" s="1008"/>
      <c r="C53" s="624" t="s">
        <v>559</v>
      </c>
      <c r="D53" s="625">
        <v>2000000</v>
      </c>
    </row>
    <row r="54" spans="2:4" ht="15.75" customHeight="1" x14ac:dyDescent="0.2">
      <c r="B54" s="1008"/>
      <c r="C54" s="622" t="s">
        <v>560</v>
      </c>
      <c r="D54" s="626">
        <f>SUM(D52:D53)</f>
        <v>34494230</v>
      </c>
    </row>
    <row r="55" spans="2:4" ht="15.75" customHeight="1" x14ac:dyDescent="0.2">
      <c r="B55" s="1008">
        <v>13</v>
      </c>
      <c r="C55" s="622" t="s">
        <v>580</v>
      </c>
      <c r="D55" s="623"/>
    </row>
    <row r="56" spans="2:4" ht="15.75" customHeight="1" x14ac:dyDescent="0.2">
      <c r="B56" s="1008"/>
      <c r="C56" s="624" t="s">
        <v>558</v>
      </c>
      <c r="D56" s="625">
        <v>56568845</v>
      </c>
    </row>
    <row r="57" spans="2:4" ht="15.75" customHeight="1" x14ac:dyDescent="0.2">
      <c r="B57" s="1008"/>
      <c r="C57" s="624" t="s">
        <v>559</v>
      </c>
      <c r="D57" s="625">
        <v>2000000</v>
      </c>
    </row>
    <row r="58" spans="2:4" ht="15.75" customHeight="1" x14ac:dyDescent="0.2">
      <c r="B58" s="1008"/>
      <c r="C58" s="622" t="s">
        <v>560</v>
      </c>
      <c r="D58" s="626">
        <f>SUM(D56:D57)</f>
        <v>58568845</v>
      </c>
    </row>
    <row r="59" spans="2:4" ht="15.75" customHeight="1" x14ac:dyDescent="0.2">
      <c r="B59" s="1008">
        <v>14</v>
      </c>
      <c r="C59" s="622" t="s">
        <v>513</v>
      </c>
      <c r="D59" s="623"/>
    </row>
    <row r="60" spans="2:4" ht="15.75" customHeight="1" x14ac:dyDescent="0.2">
      <c r="B60" s="1008"/>
      <c r="C60" s="624" t="s">
        <v>558</v>
      </c>
      <c r="D60" s="625">
        <v>90651995</v>
      </c>
    </row>
    <row r="61" spans="2:4" ht="15.75" customHeight="1" x14ac:dyDescent="0.2">
      <c r="B61" s="1008"/>
      <c r="C61" s="624" t="s">
        <v>559</v>
      </c>
      <c r="D61" s="625">
        <v>2000000</v>
      </c>
    </row>
    <row r="62" spans="2:4" ht="15.75" customHeight="1" x14ac:dyDescent="0.2">
      <c r="B62" s="1008"/>
      <c r="C62" s="622" t="s">
        <v>560</v>
      </c>
      <c r="D62" s="626">
        <f>SUM(D60:D61)</f>
        <v>92651995</v>
      </c>
    </row>
    <row r="63" spans="2:4" s="688" customFormat="1" ht="15.75" customHeight="1" x14ac:dyDescent="0.2">
      <c r="B63" s="592"/>
      <c r="C63" s="684"/>
      <c r="D63" s="685"/>
    </row>
    <row r="64" spans="2:4" s="688" customFormat="1" ht="15.75" customHeight="1" x14ac:dyDescent="0.2">
      <c r="B64" s="738"/>
      <c r="C64" s="686"/>
      <c r="D64" s="687"/>
    </row>
    <row r="65" spans="2:4" s="688" customFormat="1" ht="15.75" customHeight="1" x14ac:dyDescent="0.2">
      <c r="B65" s="738"/>
      <c r="C65" s="686"/>
      <c r="D65" s="687"/>
    </row>
    <row r="66" spans="2:4" s="688" customFormat="1" ht="15.75" customHeight="1" x14ac:dyDescent="0.2">
      <c r="B66" s="738"/>
      <c r="C66" s="686"/>
      <c r="D66" s="687"/>
    </row>
    <row r="67" spans="2:4" s="688" customFormat="1" ht="15.75" customHeight="1" x14ac:dyDescent="0.2">
      <c r="B67" s="738"/>
      <c r="C67" s="686"/>
      <c r="D67" s="687"/>
    </row>
    <row r="68" spans="2:4" s="688" customFormat="1" ht="15.75" customHeight="1" x14ac:dyDescent="0.2">
      <c r="B68" s="738"/>
      <c r="C68" s="686"/>
      <c r="D68" s="687"/>
    </row>
    <row r="69" spans="2:4" s="688" customFormat="1" ht="15.75" customHeight="1" x14ac:dyDescent="0.2">
      <c r="B69" s="738"/>
      <c r="C69" s="686"/>
      <c r="D69" s="687"/>
    </row>
    <row r="70" spans="2:4" s="688" customFormat="1" ht="15.75" customHeight="1" x14ac:dyDescent="0.2">
      <c r="B70" s="738"/>
      <c r="C70" s="686"/>
      <c r="D70" s="687"/>
    </row>
    <row r="71" spans="2:4" s="688" customFormat="1" ht="15.75" customHeight="1" x14ac:dyDescent="0.2">
      <c r="B71" s="738"/>
      <c r="C71" s="686"/>
      <c r="D71" s="687"/>
    </row>
    <row r="72" spans="2:4" s="688" customFormat="1" ht="15.75" customHeight="1" x14ac:dyDescent="0.2">
      <c r="B72" s="1008">
        <v>15</v>
      </c>
      <c r="C72" s="618" t="s">
        <v>1902</v>
      </c>
      <c r="D72" s="734"/>
    </row>
    <row r="73" spans="2:4" s="688" customFormat="1" ht="15.75" customHeight="1" x14ac:dyDescent="0.2">
      <c r="B73" s="1008"/>
      <c r="C73" s="619" t="s">
        <v>558</v>
      </c>
      <c r="D73" s="620">
        <v>345000000</v>
      </c>
    </row>
    <row r="74" spans="2:4" s="688" customFormat="1" ht="15.75" customHeight="1" x14ac:dyDescent="0.2">
      <c r="B74" s="1008"/>
      <c r="C74" s="619" t="s">
        <v>559</v>
      </c>
      <c r="D74" s="620">
        <v>5000000</v>
      </c>
    </row>
    <row r="75" spans="2:4" s="688" customFormat="1" ht="15.75" customHeight="1" x14ac:dyDescent="0.2">
      <c r="B75" s="1008"/>
      <c r="C75" s="618" t="s">
        <v>560</v>
      </c>
      <c r="D75" s="621">
        <f t="shared" ref="D75" si="0">SUM(D73:D74)</f>
        <v>350000000</v>
      </c>
    </row>
    <row r="76" spans="2:4" ht="15.75" customHeight="1" x14ac:dyDescent="0.2">
      <c r="B76" s="1008">
        <v>16</v>
      </c>
      <c r="C76" s="618" t="s">
        <v>1903</v>
      </c>
      <c r="D76" s="734"/>
    </row>
    <row r="77" spans="2:4" ht="15.75" customHeight="1" x14ac:dyDescent="0.2">
      <c r="B77" s="1008"/>
      <c r="C77" s="619" t="s">
        <v>558</v>
      </c>
      <c r="D77" s="620">
        <v>345000000</v>
      </c>
    </row>
    <row r="78" spans="2:4" ht="15.75" customHeight="1" x14ac:dyDescent="0.2">
      <c r="B78" s="1008"/>
      <c r="C78" s="619" t="s">
        <v>559</v>
      </c>
      <c r="D78" s="620">
        <v>5000000</v>
      </c>
    </row>
    <row r="79" spans="2:4" ht="15.75" customHeight="1" x14ac:dyDescent="0.2">
      <c r="B79" s="1008"/>
      <c r="C79" s="618" t="s">
        <v>560</v>
      </c>
      <c r="D79" s="621">
        <f t="shared" ref="D79" si="1">SUM(D77:D78)</f>
        <v>350000000</v>
      </c>
    </row>
    <row r="80" spans="2:4" x14ac:dyDescent="0.2">
      <c r="B80" s="899" t="s">
        <v>298</v>
      </c>
      <c r="C80" s="899"/>
      <c r="D80" s="556">
        <f>+D79+D75+D62+D58+D54+D50+D46+D42+D38+D34+D30+D26+D22+D18+D14+D10</f>
        <v>1743217031</v>
      </c>
    </row>
    <row r="81" spans="2:4" x14ac:dyDescent="0.2">
      <c r="B81" s="899" t="s">
        <v>666</v>
      </c>
      <c r="C81" s="899"/>
      <c r="D81" s="556">
        <f>D80*0.3</f>
        <v>522965109.29999995</v>
      </c>
    </row>
    <row r="82" spans="2:4" ht="20.25" customHeight="1" x14ac:dyDescent="0.2">
      <c r="B82" s="1009" t="s">
        <v>581</v>
      </c>
      <c r="C82" s="1010"/>
      <c r="D82" s="1011"/>
    </row>
    <row r="83" spans="2:4" ht="15" customHeight="1" x14ac:dyDescent="0.2">
      <c r="B83" s="1012"/>
      <c r="C83" s="1013"/>
      <c r="D83" s="1014"/>
    </row>
    <row r="84" spans="2:4" ht="15.75" customHeight="1" x14ac:dyDescent="0.2">
      <c r="B84" s="1012"/>
      <c r="C84" s="1013"/>
      <c r="D84" s="1014"/>
    </row>
    <row r="85" spans="2:4" ht="18" customHeight="1" x14ac:dyDescent="0.2">
      <c r="B85" s="1015"/>
      <c r="C85" s="1016"/>
      <c r="D85" s="1017"/>
    </row>
  </sheetData>
  <mergeCells count="24">
    <mergeCell ref="B31:B34"/>
    <mergeCell ref="B3:D3"/>
    <mergeCell ref="B4:D4"/>
    <mergeCell ref="B5:B6"/>
    <mergeCell ref="C5:C6"/>
    <mergeCell ref="D5:D6"/>
    <mergeCell ref="B7:B10"/>
    <mergeCell ref="B11:B14"/>
    <mergeCell ref="B15:B18"/>
    <mergeCell ref="B19:B22"/>
    <mergeCell ref="B23:B26"/>
    <mergeCell ref="B27:B30"/>
    <mergeCell ref="B82:D85"/>
    <mergeCell ref="B35:B38"/>
    <mergeCell ref="B39:B42"/>
    <mergeCell ref="B43:B46"/>
    <mergeCell ref="B47:B50"/>
    <mergeCell ref="B51:B54"/>
    <mergeCell ref="B55:B58"/>
    <mergeCell ref="B59:B62"/>
    <mergeCell ref="B72:B75"/>
    <mergeCell ref="B76:B79"/>
    <mergeCell ref="B80:C80"/>
    <mergeCell ref="B81:C81"/>
  </mergeCells>
  <printOptions horizontalCentered="1"/>
  <pageMargins left="0.7" right="0.7" top="0.75" bottom="1.54" header="0.3" footer="0.96"/>
  <pageSetup paperSize="5" scale="80" orientation="portrait" r:id="rId1"/>
  <headerFooter>
    <oddFooter xml:space="preserve">&amp;C
</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K51"/>
  <sheetViews>
    <sheetView view="pageLayout" zoomScaleNormal="100" workbookViewId="0">
      <selection activeCell="F4" sqref="F4"/>
    </sheetView>
  </sheetViews>
  <sheetFormatPr baseColWidth="10" defaultRowHeight="15" x14ac:dyDescent="0.25"/>
  <cols>
    <col min="1" max="1" width="6.85546875" style="262" customWidth="1"/>
    <col min="2" max="2" width="22.85546875" style="113" customWidth="1"/>
    <col min="3" max="10" width="11.42578125" style="113"/>
    <col min="11" max="11" width="12.85546875" style="113" customWidth="1"/>
    <col min="12" max="16384" width="11.42578125" style="113"/>
  </cols>
  <sheetData>
    <row r="2" spans="1:11" x14ac:dyDescent="0.25">
      <c r="A2" s="1018"/>
      <c r="B2" s="1018"/>
      <c r="C2" s="1018"/>
      <c r="D2" s="1018"/>
      <c r="E2" s="1018"/>
      <c r="F2" s="1018"/>
      <c r="G2" s="1018"/>
      <c r="H2" s="1018"/>
      <c r="I2" s="1018"/>
      <c r="J2" s="1018"/>
      <c r="K2" s="1018"/>
    </row>
    <row r="3" spans="1:11" x14ac:dyDescent="0.25">
      <c r="A3" s="944" t="s">
        <v>1889</v>
      </c>
      <c r="B3" s="944"/>
      <c r="C3" s="944"/>
      <c r="D3" s="944"/>
      <c r="E3" s="944"/>
      <c r="F3" s="944"/>
      <c r="G3" s="944"/>
      <c r="H3" s="944"/>
      <c r="I3" s="944"/>
      <c r="J3" s="944"/>
      <c r="K3" s="944"/>
    </row>
    <row r="4" spans="1:11" ht="159" customHeight="1" x14ac:dyDescent="0.25">
      <c r="A4" s="741" t="s">
        <v>346</v>
      </c>
      <c r="B4" s="741" t="s">
        <v>287</v>
      </c>
      <c r="C4" s="260" t="s">
        <v>1445</v>
      </c>
      <c r="D4" s="260" t="s">
        <v>1448</v>
      </c>
      <c r="E4" s="741" t="s">
        <v>1449</v>
      </c>
      <c r="F4" s="741" t="s">
        <v>1450</v>
      </c>
      <c r="G4" s="741" t="s">
        <v>1451</v>
      </c>
      <c r="H4" s="741" t="s">
        <v>1457</v>
      </c>
      <c r="I4" s="261" t="s">
        <v>1458</v>
      </c>
      <c r="J4" s="261" t="s">
        <v>1459</v>
      </c>
      <c r="K4" s="261" t="s">
        <v>1460</v>
      </c>
    </row>
    <row r="5" spans="1:11" ht="18" customHeight="1" x14ac:dyDescent="0.25">
      <c r="A5" s="230">
        <v>1</v>
      </c>
      <c r="B5" s="254" t="s">
        <v>241</v>
      </c>
      <c r="C5" s="263">
        <v>0</v>
      </c>
      <c r="D5" s="263">
        <v>0</v>
      </c>
      <c r="E5" s="219">
        <v>157356</v>
      </c>
      <c r="F5" s="219">
        <v>0</v>
      </c>
      <c r="G5" s="219">
        <v>273784</v>
      </c>
      <c r="H5" s="219">
        <v>203182</v>
      </c>
      <c r="I5" s="219">
        <v>715000</v>
      </c>
      <c r="J5" s="219">
        <v>356380</v>
      </c>
      <c r="K5" s="219">
        <f t="shared" ref="K5:K48" si="0">SUM(C5:J5)</f>
        <v>1705702</v>
      </c>
    </row>
    <row r="6" spans="1:11" ht="18" customHeight="1" x14ac:dyDescent="0.25">
      <c r="A6" s="230">
        <v>2</v>
      </c>
      <c r="B6" s="254" t="s">
        <v>242</v>
      </c>
      <c r="C6" s="263">
        <v>0</v>
      </c>
      <c r="D6" s="263">
        <v>0</v>
      </c>
      <c r="E6" s="219">
        <v>314712</v>
      </c>
      <c r="F6" s="219">
        <v>0</v>
      </c>
      <c r="G6" s="219">
        <v>0</v>
      </c>
      <c r="H6" s="219">
        <v>290260</v>
      </c>
      <c r="I6" s="219">
        <v>1287000</v>
      </c>
      <c r="J6" s="219">
        <v>712760</v>
      </c>
      <c r="K6" s="219">
        <f t="shared" si="0"/>
        <v>2604732</v>
      </c>
    </row>
    <row r="7" spans="1:11" ht="18" customHeight="1" x14ac:dyDescent="0.25">
      <c r="A7" s="230">
        <v>3</v>
      </c>
      <c r="B7" s="254" t="s">
        <v>243</v>
      </c>
      <c r="C7" s="263">
        <v>0</v>
      </c>
      <c r="D7" s="263">
        <v>0</v>
      </c>
      <c r="E7" s="219">
        <v>78678</v>
      </c>
      <c r="F7" s="219">
        <v>0</v>
      </c>
      <c r="G7" s="219">
        <v>0</v>
      </c>
      <c r="H7" s="219">
        <v>0</v>
      </c>
      <c r="I7" s="219">
        <v>0</v>
      </c>
      <c r="J7" s="219">
        <v>0</v>
      </c>
      <c r="K7" s="219">
        <f t="shared" si="0"/>
        <v>78678</v>
      </c>
    </row>
    <row r="8" spans="1:11" ht="18" customHeight="1" x14ac:dyDescent="0.25">
      <c r="A8" s="230">
        <v>4</v>
      </c>
      <c r="B8" s="254" t="s">
        <v>244</v>
      </c>
      <c r="C8" s="263">
        <v>0</v>
      </c>
      <c r="D8" s="263">
        <v>0</v>
      </c>
      <c r="E8" s="219">
        <v>157356</v>
      </c>
      <c r="F8" s="219">
        <v>0</v>
      </c>
      <c r="G8" s="219">
        <v>0</v>
      </c>
      <c r="H8" s="219">
        <v>203182</v>
      </c>
      <c r="I8" s="219">
        <v>715000</v>
      </c>
      <c r="J8" s="219">
        <v>356380</v>
      </c>
      <c r="K8" s="219">
        <f t="shared" si="0"/>
        <v>1431918</v>
      </c>
    </row>
    <row r="9" spans="1:11" ht="18" customHeight="1" x14ac:dyDescent="0.25">
      <c r="A9" s="230">
        <v>5</v>
      </c>
      <c r="B9" s="254" t="s">
        <v>245</v>
      </c>
      <c r="C9" s="263">
        <v>0</v>
      </c>
      <c r="D9" s="263">
        <v>0</v>
      </c>
      <c r="E9" s="219">
        <v>78678</v>
      </c>
      <c r="F9" s="219">
        <v>73968</v>
      </c>
      <c r="G9" s="219">
        <v>469344</v>
      </c>
      <c r="H9" s="219">
        <v>145130</v>
      </c>
      <c r="I9" s="219">
        <v>500500</v>
      </c>
      <c r="J9" s="219">
        <v>356380</v>
      </c>
      <c r="K9" s="219">
        <f t="shared" si="0"/>
        <v>1624000</v>
      </c>
    </row>
    <row r="10" spans="1:11" ht="18" customHeight="1" x14ac:dyDescent="0.25">
      <c r="A10" s="230">
        <v>6</v>
      </c>
      <c r="B10" s="254" t="s">
        <v>246</v>
      </c>
      <c r="C10" s="263">
        <v>0</v>
      </c>
      <c r="D10" s="263">
        <v>0</v>
      </c>
      <c r="E10" s="219">
        <v>139872</v>
      </c>
      <c r="F10" s="219">
        <v>184920</v>
      </c>
      <c r="G10" s="219">
        <v>156448</v>
      </c>
      <c r="H10" s="219">
        <v>87078</v>
      </c>
      <c r="I10" s="219">
        <v>0</v>
      </c>
      <c r="J10" s="219">
        <v>178190</v>
      </c>
      <c r="K10" s="219">
        <f t="shared" si="0"/>
        <v>746508</v>
      </c>
    </row>
    <row r="11" spans="1:11" ht="18" customHeight="1" x14ac:dyDescent="0.25">
      <c r="A11" s="230">
        <v>7</v>
      </c>
      <c r="B11" s="254" t="s">
        <v>526</v>
      </c>
      <c r="C11" s="263">
        <v>0</v>
      </c>
      <c r="D11" s="263">
        <v>0</v>
      </c>
      <c r="E11" s="219">
        <v>78678</v>
      </c>
      <c r="F11" s="219">
        <v>61640</v>
      </c>
      <c r="G11" s="219">
        <v>78224</v>
      </c>
      <c r="H11" s="219">
        <v>87078</v>
      </c>
      <c r="I11" s="219">
        <v>429000</v>
      </c>
      <c r="J11" s="219">
        <v>356380</v>
      </c>
      <c r="K11" s="219">
        <f t="shared" si="0"/>
        <v>1091000</v>
      </c>
    </row>
    <row r="12" spans="1:11" ht="18" customHeight="1" x14ac:dyDescent="0.25">
      <c r="A12" s="230">
        <v>8</v>
      </c>
      <c r="B12" s="254" t="s">
        <v>248</v>
      </c>
      <c r="C12" s="263">
        <v>0</v>
      </c>
      <c r="D12" s="263">
        <v>0</v>
      </c>
      <c r="E12" s="219">
        <v>87420</v>
      </c>
      <c r="F12" s="219">
        <v>61640</v>
      </c>
      <c r="G12" s="219">
        <v>78224</v>
      </c>
      <c r="H12" s="219">
        <v>87078</v>
      </c>
      <c r="I12" s="219">
        <v>500500</v>
      </c>
      <c r="J12" s="219">
        <v>178190</v>
      </c>
      <c r="K12" s="219">
        <f t="shared" si="0"/>
        <v>993052</v>
      </c>
    </row>
    <row r="13" spans="1:11" ht="18" customHeight="1" x14ac:dyDescent="0.25">
      <c r="A13" s="230">
        <v>9</v>
      </c>
      <c r="B13" s="258" t="s">
        <v>249</v>
      </c>
      <c r="C13" s="263">
        <v>0</v>
      </c>
      <c r="D13" s="263">
        <v>0</v>
      </c>
      <c r="E13" s="219">
        <v>78678</v>
      </c>
      <c r="F13" s="219">
        <v>61640</v>
      </c>
      <c r="G13" s="219">
        <v>78224</v>
      </c>
      <c r="H13" s="219">
        <v>87078</v>
      </c>
      <c r="I13" s="219">
        <v>500500</v>
      </c>
      <c r="J13" s="219">
        <v>142552</v>
      </c>
      <c r="K13" s="219">
        <f t="shared" si="0"/>
        <v>948672</v>
      </c>
    </row>
    <row r="14" spans="1:11" ht="18" customHeight="1" x14ac:dyDescent="0.25">
      <c r="A14" s="230">
        <v>10</v>
      </c>
      <c r="B14" s="254" t="s">
        <v>250</v>
      </c>
      <c r="C14" s="263">
        <v>0</v>
      </c>
      <c r="D14" s="263">
        <v>0</v>
      </c>
      <c r="E14" s="219">
        <v>87420</v>
      </c>
      <c r="F14" s="219">
        <v>61640</v>
      </c>
      <c r="G14" s="219">
        <v>156448</v>
      </c>
      <c r="H14" s="219">
        <v>145130</v>
      </c>
      <c r="I14" s="219">
        <v>536250</v>
      </c>
      <c r="J14" s="219">
        <v>106914</v>
      </c>
      <c r="K14" s="219">
        <f t="shared" si="0"/>
        <v>1093802</v>
      </c>
    </row>
    <row r="15" spans="1:11" ht="18" customHeight="1" x14ac:dyDescent="0.25">
      <c r="A15" s="230">
        <v>11</v>
      </c>
      <c r="B15" s="254" t="s">
        <v>251</v>
      </c>
      <c r="C15" s="263">
        <v>0</v>
      </c>
      <c r="D15" s="263">
        <v>0</v>
      </c>
      <c r="E15" s="219">
        <v>131130</v>
      </c>
      <c r="F15" s="219">
        <v>61640</v>
      </c>
      <c r="G15" s="219">
        <v>195560</v>
      </c>
      <c r="H15" s="219">
        <v>87078</v>
      </c>
      <c r="I15" s="219">
        <v>536250</v>
      </c>
      <c r="J15" s="219">
        <v>89095</v>
      </c>
      <c r="K15" s="219">
        <f t="shared" si="0"/>
        <v>1100753</v>
      </c>
    </row>
    <row r="16" spans="1:11" ht="18" customHeight="1" x14ac:dyDescent="0.25">
      <c r="A16" s="230">
        <v>12</v>
      </c>
      <c r="B16" s="254" t="s">
        <v>252</v>
      </c>
      <c r="C16" s="263">
        <v>0</v>
      </c>
      <c r="D16" s="263">
        <v>0</v>
      </c>
      <c r="E16" s="219">
        <v>65565</v>
      </c>
      <c r="F16" s="219">
        <v>92460</v>
      </c>
      <c r="G16" s="219">
        <v>78224</v>
      </c>
      <c r="H16" s="219">
        <v>145130</v>
      </c>
      <c r="I16" s="219">
        <v>536250</v>
      </c>
      <c r="J16" s="219">
        <v>71276</v>
      </c>
      <c r="K16" s="219">
        <f t="shared" si="0"/>
        <v>988905</v>
      </c>
    </row>
    <row r="17" spans="1:11" ht="18" customHeight="1" x14ac:dyDescent="0.25">
      <c r="A17" s="230">
        <v>13</v>
      </c>
      <c r="B17" s="254" t="s">
        <v>253</v>
      </c>
      <c r="C17" s="263">
        <v>0</v>
      </c>
      <c r="D17" s="263">
        <v>0</v>
      </c>
      <c r="E17" s="219">
        <v>131130</v>
      </c>
      <c r="F17" s="219">
        <v>61640</v>
      </c>
      <c r="G17" s="219">
        <v>78224</v>
      </c>
      <c r="H17" s="219">
        <v>116104</v>
      </c>
      <c r="I17" s="219">
        <v>429000</v>
      </c>
      <c r="J17" s="219">
        <v>106914</v>
      </c>
      <c r="K17" s="219">
        <f t="shared" si="0"/>
        <v>923012</v>
      </c>
    </row>
    <row r="18" spans="1:11" ht="18" customHeight="1" x14ac:dyDescent="0.25">
      <c r="A18" s="230">
        <v>14</v>
      </c>
      <c r="B18" s="258" t="s">
        <v>254</v>
      </c>
      <c r="C18" s="263">
        <v>0</v>
      </c>
      <c r="D18" s="263">
        <v>0</v>
      </c>
      <c r="E18" s="219">
        <v>78678</v>
      </c>
      <c r="F18" s="219">
        <v>0</v>
      </c>
      <c r="G18" s="219">
        <v>0</v>
      </c>
      <c r="H18" s="219">
        <v>116104</v>
      </c>
      <c r="I18" s="219">
        <v>429000</v>
      </c>
      <c r="J18" s="219">
        <v>106914</v>
      </c>
      <c r="K18" s="219">
        <f t="shared" si="0"/>
        <v>730696</v>
      </c>
    </row>
    <row r="19" spans="1:11" ht="18" customHeight="1" x14ac:dyDescent="0.25">
      <c r="A19" s="230">
        <v>15</v>
      </c>
      <c r="B19" s="254" t="s">
        <v>255</v>
      </c>
      <c r="C19" s="263">
        <v>0</v>
      </c>
      <c r="D19" s="263">
        <v>0</v>
      </c>
      <c r="E19" s="219">
        <v>26226</v>
      </c>
      <c r="F19" s="219">
        <v>73968</v>
      </c>
      <c r="G19" s="219">
        <v>78224</v>
      </c>
      <c r="H19" s="219">
        <v>0</v>
      </c>
      <c r="I19" s="219">
        <v>429000</v>
      </c>
      <c r="J19" s="219">
        <v>106914</v>
      </c>
      <c r="K19" s="219">
        <f t="shared" si="0"/>
        <v>714332</v>
      </c>
    </row>
    <row r="20" spans="1:11" ht="18" customHeight="1" x14ac:dyDescent="0.25">
      <c r="A20" s="230">
        <v>16</v>
      </c>
      <c r="B20" s="254" t="s">
        <v>256</v>
      </c>
      <c r="C20" s="263">
        <v>0</v>
      </c>
      <c r="D20" s="263">
        <v>0</v>
      </c>
      <c r="E20" s="219">
        <v>78678</v>
      </c>
      <c r="F20" s="219">
        <v>0</v>
      </c>
      <c r="G20" s="219">
        <v>0</v>
      </c>
      <c r="H20" s="219">
        <v>116104</v>
      </c>
      <c r="I20" s="219">
        <v>321750</v>
      </c>
      <c r="J20" s="219">
        <v>106914</v>
      </c>
      <c r="K20" s="219">
        <f t="shared" si="0"/>
        <v>623446</v>
      </c>
    </row>
    <row r="21" spans="1:11" ht="18" customHeight="1" x14ac:dyDescent="0.25">
      <c r="A21" s="230">
        <v>17</v>
      </c>
      <c r="B21" s="254" t="s">
        <v>257</v>
      </c>
      <c r="C21" s="263">
        <v>0</v>
      </c>
      <c r="D21" s="263">
        <v>0</v>
      </c>
      <c r="E21" s="219">
        <v>78678</v>
      </c>
      <c r="F21" s="219">
        <v>61640</v>
      </c>
      <c r="G21" s="219">
        <v>0</v>
      </c>
      <c r="H21" s="219">
        <v>0</v>
      </c>
      <c r="I21" s="219">
        <v>321750</v>
      </c>
      <c r="J21" s="219">
        <v>106914</v>
      </c>
      <c r="K21" s="219">
        <f t="shared" si="0"/>
        <v>568982</v>
      </c>
    </row>
    <row r="22" spans="1:11" ht="18" customHeight="1" x14ac:dyDescent="0.25">
      <c r="A22" s="230">
        <v>18</v>
      </c>
      <c r="B22" s="254" t="s">
        <v>258</v>
      </c>
      <c r="C22" s="263">
        <v>0</v>
      </c>
      <c r="D22" s="263">
        <v>0</v>
      </c>
      <c r="E22" s="219">
        <v>78678</v>
      </c>
      <c r="F22" s="219">
        <v>0</v>
      </c>
      <c r="G22" s="219">
        <v>0</v>
      </c>
      <c r="H22" s="219">
        <v>0</v>
      </c>
      <c r="I22" s="219">
        <v>321750</v>
      </c>
      <c r="J22" s="219">
        <v>106914</v>
      </c>
      <c r="K22" s="219">
        <f t="shared" si="0"/>
        <v>507342</v>
      </c>
    </row>
    <row r="23" spans="1:11" ht="18" customHeight="1" x14ac:dyDescent="0.25">
      <c r="A23" s="230">
        <v>19</v>
      </c>
      <c r="B23" s="254" t="s">
        <v>259</v>
      </c>
      <c r="C23" s="263">
        <v>0</v>
      </c>
      <c r="D23" s="263">
        <v>0</v>
      </c>
      <c r="E23" s="219">
        <v>349680</v>
      </c>
      <c r="F23" s="219">
        <v>184920</v>
      </c>
      <c r="G23" s="219">
        <v>391120</v>
      </c>
      <c r="H23" s="219">
        <v>290260</v>
      </c>
      <c r="I23" s="219">
        <v>1430000</v>
      </c>
      <c r="J23" s="219">
        <v>213828</v>
      </c>
      <c r="K23" s="219">
        <f t="shared" si="0"/>
        <v>2859808</v>
      </c>
    </row>
    <row r="24" spans="1:11" ht="18" customHeight="1" x14ac:dyDescent="0.25">
      <c r="A24" s="230">
        <v>20</v>
      </c>
      <c r="B24" s="254" t="s">
        <v>260</v>
      </c>
      <c r="C24" s="263">
        <v>0</v>
      </c>
      <c r="D24" s="263">
        <v>0</v>
      </c>
      <c r="E24" s="219">
        <v>61194</v>
      </c>
      <c r="F24" s="219">
        <v>0</v>
      </c>
      <c r="G24" s="219">
        <v>0</v>
      </c>
      <c r="H24" s="219">
        <v>0</v>
      </c>
      <c r="I24" s="219">
        <v>214500</v>
      </c>
      <c r="J24" s="219">
        <v>71276</v>
      </c>
      <c r="K24" s="219">
        <f t="shared" si="0"/>
        <v>346970</v>
      </c>
    </row>
    <row r="25" spans="1:11" ht="18" customHeight="1" x14ac:dyDescent="0.25">
      <c r="A25" s="230">
        <v>21</v>
      </c>
      <c r="B25" s="254" t="s">
        <v>261</v>
      </c>
      <c r="C25" s="263">
        <v>0</v>
      </c>
      <c r="D25" s="263">
        <v>0</v>
      </c>
      <c r="E25" s="219">
        <v>52452</v>
      </c>
      <c r="F25" s="219">
        <v>110952</v>
      </c>
      <c r="G25" s="219">
        <v>312896</v>
      </c>
      <c r="H25" s="219">
        <v>174156</v>
      </c>
      <c r="I25" s="219">
        <v>357500</v>
      </c>
      <c r="J25" s="219">
        <v>106914</v>
      </c>
      <c r="K25" s="219">
        <f t="shared" si="0"/>
        <v>1114870</v>
      </c>
    </row>
    <row r="26" spans="1:11" ht="18" customHeight="1" x14ac:dyDescent="0.25">
      <c r="A26" s="282"/>
      <c r="B26" s="631"/>
      <c r="C26" s="632"/>
      <c r="D26" s="632"/>
      <c r="E26" s="633"/>
      <c r="F26" s="633"/>
      <c r="G26" s="633"/>
      <c r="H26" s="633"/>
      <c r="I26" s="633"/>
      <c r="J26" s="633"/>
      <c r="K26" s="633"/>
    </row>
    <row r="27" spans="1:11" ht="18" customHeight="1" x14ac:dyDescent="0.25">
      <c r="A27" s="743"/>
      <c r="B27" s="634"/>
      <c r="C27" s="635"/>
      <c r="D27" s="635"/>
      <c r="E27" s="636"/>
      <c r="F27" s="636"/>
      <c r="G27" s="636"/>
      <c r="H27" s="636"/>
      <c r="I27" s="636"/>
      <c r="J27" s="636"/>
      <c r="K27" s="636"/>
    </row>
    <row r="28" spans="1:11" ht="18" customHeight="1" x14ac:dyDescent="0.25">
      <c r="A28" s="743"/>
      <c r="B28" s="634"/>
      <c r="C28" s="635"/>
      <c r="D28" s="635"/>
      <c r="E28" s="636"/>
      <c r="F28" s="636"/>
      <c r="G28" s="636"/>
      <c r="H28" s="636"/>
      <c r="I28" s="636"/>
      <c r="J28" s="636"/>
      <c r="K28" s="636"/>
    </row>
    <row r="29" spans="1:11" ht="18" customHeight="1" x14ac:dyDescent="0.25">
      <c r="A29" s="743"/>
      <c r="B29" s="634"/>
      <c r="C29" s="635"/>
      <c r="D29" s="635"/>
      <c r="E29" s="636"/>
      <c r="F29" s="636"/>
      <c r="G29" s="636"/>
      <c r="H29" s="636"/>
      <c r="I29" s="636"/>
      <c r="J29" s="636"/>
      <c r="K29" s="636"/>
    </row>
    <row r="30" spans="1:11" ht="18" customHeight="1" x14ac:dyDescent="0.25">
      <c r="A30" s="230">
        <v>22</v>
      </c>
      <c r="B30" s="254" t="s">
        <v>262</v>
      </c>
      <c r="C30" s="263">
        <v>0</v>
      </c>
      <c r="D30" s="263">
        <v>0</v>
      </c>
      <c r="E30" s="219">
        <v>34968</v>
      </c>
      <c r="F30" s="219">
        <v>98624</v>
      </c>
      <c r="G30" s="219">
        <v>156448</v>
      </c>
      <c r="H30" s="219">
        <v>87078</v>
      </c>
      <c r="I30" s="219">
        <v>286000</v>
      </c>
      <c r="J30" s="219">
        <v>106914</v>
      </c>
      <c r="K30" s="219">
        <f t="shared" si="0"/>
        <v>770032</v>
      </c>
    </row>
    <row r="31" spans="1:11" ht="18" customHeight="1" x14ac:dyDescent="0.25">
      <c r="A31" s="230">
        <v>23</v>
      </c>
      <c r="B31" s="254" t="s">
        <v>263</v>
      </c>
      <c r="C31" s="263">
        <v>0</v>
      </c>
      <c r="D31" s="263">
        <v>0</v>
      </c>
      <c r="E31" s="219">
        <v>78678</v>
      </c>
      <c r="F31" s="219">
        <v>0</v>
      </c>
      <c r="G31" s="219">
        <v>0</v>
      </c>
      <c r="H31" s="219">
        <v>0</v>
      </c>
      <c r="I31" s="219">
        <v>250250</v>
      </c>
      <c r="J31" s="219">
        <v>53457</v>
      </c>
      <c r="K31" s="219">
        <f t="shared" si="0"/>
        <v>382385</v>
      </c>
    </row>
    <row r="32" spans="1:11" ht="18" customHeight="1" x14ac:dyDescent="0.25">
      <c r="A32" s="230">
        <v>24</v>
      </c>
      <c r="B32" s="254" t="s">
        <v>264</v>
      </c>
      <c r="C32" s="263">
        <v>0</v>
      </c>
      <c r="D32" s="263">
        <v>0</v>
      </c>
      <c r="E32" s="219">
        <v>87420</v>
      </c>
      <c r="F32" s="219">
        <v>0</v>
      </c>
      <c r="G32" s="219">
        <v>0</v>
      </c>
      <c r="H32" s="219">
        <v>0</v>
      </c>
      <c r="I32" s="219">
        <v>286000</v>
      </c>
      <c r="J32" s="219">
        <v>89095</v>
      </c>
      <c r="K32" s="219">
        <f t="shared" si="0"/>
        <v>462515</v>
      </c>
    </row>
    <row r="33" spans="1:11" ht="18" customHeight="1" x14ac:dyDescent="0.25">
      <c r="A33" s="230">
        <v>25</v>
      </c>
      <c r="B33" s="254" t="s">
        <v>265</v>
      </c>
      <c r="C33" s="263">
        <v>0</v>
      </c>
      <c r="D33" s="263">
        <v>0</v>
      </c>
      <c r="E33" s="219">
        <v>349680</v>
      </c>
      <c r="F33" s="219">
        <v>184920</v>
      </c>
      <c r="G33" s="219">
        <v>312896</v>
      </c>
      <c r="H33" s="219">
        <v>174156</v>
      </c>
      <c r="I33" s="219">
        <v>1287000</v>
      </c>
      <c r="J33" s="219">
        <v>1069140</v>
      </c>
      <c r="K33" s="219">
        <f t="shared" si="0"/>
        <v>3377792</v>
      </c>
    </row>
    <row r="34" spans="1:11" ht="18" customHeight="1" x14ac:dyDescent="0.25">
      <c r="A34" s="230">
        <v>26</v>
      </c>
      <c r="B34" s="254" t="s">
        <v>266</v>
      </c>
      <c r="C34" s="263">
        <v>0</v>
      </c>
      <c r="D34" s="263">
        <v>0</v>
      </c>
      <c r="E34" s="219">
        <v>87420</v>
      </c>
      <c r="F34" s="219">
        <v>0</v>
      </c>
      <c r="G34" s="219">
        <v>78224</v>
      </c>
      <c r="H34" s="219">
        <v>87078</v>
      </c>
      <c r="I34" s="219">
        <v>357500</v>
      </c>
      <c r="J34" s="219">
        <v>71276</v>
      </c>
      <c r="K34" s="219">
        <f t="shared" si="0"/>
        <v>681498</v>
      </c>
    </row>
    <row r="35" spans="1:11" ht="18" customHeight="1" x14ac:dyDescent="0.25">
      <c r="A35" s="230">
        <v>27</v>
      </c>
      <c r="B35" s="254" t="s">
        <v>267</v>
      </c>
      <c r="C35" s="263">
        <v>0</v>
      </c>
      <c r="D35" s="263">
        <v>0</v>
      </c>
      <c r="E35" s="219">
        <v>87420</v>
      </c>
      <c r="F35" s="219">
        <v>61640</v>
      </c>
      <c r="G35" s="219">
        <v>0</v>
      </c>
      <c r="H35" s="219">
        <v>87078</v>
      </c>
      <c r="I35" s="219">
        <v>429000</v>
      </c>
      <c r="J35" s="219">
        <v>142552</v>
      </c>
      <c r="K35" s="219">
        <f t="shared" si="0"/>
        <v>807690</v>
      </c>
    </row>
    <row r="36" spans="1:11" ht="18" customHeight="1" x14ac:dyDescent="0.25">
      <c r="A36" s="230">
        <v>28</v>
      </c>
      <c r="B36" s="254" t="s">
        <v>268</v>
      </c>
      <c r="C36" s="263">
        <v>0</v>
      </c>
      <c r="D36" s="263">
        <v>0</v>
      </c>
      <c r="E36" s="219">
        <v>104904</v>
      </c>
      <c r="F36" s="219">
        <v>98624</v>
      </c>
      <c r="G36" s="219">
        <v>234672</v>
      </c>
      <c r="H36" s="219">
        <v>116104</v>
      </c>
      <c r="I36" s="219">
        <v>500500</v>
      </c>
      <c r="J36" s="219">
        <v>142552</v>
      </c>
      <c r="K36" s="219">
        <f t="shared" si="0"/>
        <v>1197356</v>
      </c>
    </row>
    <row r="37" spans="1:11" ht="18" customHeight="1" x14ac:dyDescent="0.25">
      <c r="A37" s="230">
        <v>29</v>
      </c>
      <c r="B37" s="254" t="s">
        <v>269</v>
      </c>
      <c r="C37" s="263">
        <v>0</v>
      </c>
      <c r="D37" s="263">
        <v>0</v>
      </c>
      <c r="E37" s="219">
        <v>87420</v>
      </c>
      <c r="F37" s="219">
        <v>0</v>
      </c>
      <c r="G37" s="219">
        <v>0</v>
      </c>
      <c r="H37" s="219">
        <v>0</v>
      </c>
      <c r="I37" s="219">
        <v>357500</v>
      </c>
      <c r="J37" s="219">
        <v>53457</v>
      </c>
      <c r="K37" s="219">
        <f t="shared" si="0"/>
        <v>498377</v>
      </c>
    </row>
    <row r="38" spans="1:11" ht="18" customHeight="1" x14ac:dyDescent="0.25">
      <c r="A38" s="230">
        <v>30</v>
      </c>
      <c r="B38" s="254" t="s">
        <v>270</v>
      </c>
      <c r="C38" s="263">
        <v>0</v>
      </c>
      <c r="D38" s="263">
        <v>0</v>
      </c>
      <c r="E38" s="219">
        <v>34968</v>
      </c>
      <c r="F38" s="219">
        <v>86296</v>
      </c>
      <c r="G38" s="219">
        <v>156448</v>
      </c>
      <c r="H38" s="219">
        <v>0</v>
      </c>
      <c r="I38" s="219">
        <v>286000</v>
      </c>
      <c r="J38" s="219">
        <v>89095</v>
      </c>
      <c r="K38" s="219">
        <f t="shared" si="0"/>
        <v>652807</v>
      </c>
    </row>
    <row r="39" spans="1:11" ht="18" customHeight="1" x14ac:dyDescent="0.25">
      <c r="A39" s="230">
        <v>31</v>
      </c>
      <c r="B39" s="254" t="s">
        <v>271</v>
      </c>
      <c r="C39" s="263">
        <v>0</v>
      </c>
      <c r="D39" s="263">
        <v>0</v>
      </c>
      <c r="E39" s="219">
        <v>34968</v>
      </c>
      <c r="F39" s="219">
        <v>123280</v>
      </c>
      <c r="G39" s="219">
        <v>117336</v>
      </c>
      <c r="H39" s="219">
        <v>0</v>
      </c>
      <c r="I39" s="219">
        <v>286000</v>
      </c>
      <c r="J39" s="219">
        <v>71276</v>
      </c>
      <c r="K39" s="219">
        <f t="shared" si="0"/>
        <v>632860</v>
      </c>
    </row>
    <row r="40" spans="1:11" ht="18" customHeight="1" x14ac:dyDescent="0.25">
      <c r="A40" s="230">
        <v>32</v>
      </c>
      <c r="B40" s="254" t="s">
        <v>272</v>
      </c>
      <c r="C40" s="263">
        <v>0</v>
      </c>
      <c r="D40" s="263">
        <v>0</v>
      </c>
      <c r="E40" s="219">
        <v>17484</v>
      </c>
      <c r="F40" s="219">
        <v>73968</v>
      </c>
      <c r="G40" s="219">
        <v>78224</v>
      </c>
      <c r="H40" s="219">
        <v>0</v>
      </c>
      <c r="I40" s="219">
        <v>214500</v>
      </c>
      <c r="J40" s="219">
        <v>53457</v>
      </c>
      <c r="K40" s="219">
        <f t="shared" si="0"/>
        <v>437633</v>
      </c>
    </row>
    <row r="41" spans="1:11" ht="18" customHeight="1" x14ac:dyDescent="0.25">
      <c r="A41" s="230">
        <v>33</v>
      </c>
      <c r="B41" s="254" t="s">
        <v>273</v>
      </c>
      <c r="C41" s="263">
        <v>0</v>
      </c>
      <c r="D41" s="263">
        <v>0</v>
      </c>
      <c r="E41" s="219">
        <v>34968</v>
      </c>
      <c r="F41" s="219">
        <v>86296</v>
      </c>
      <c r="G41" s="219">
        <v>156448</v>
      </c>
      <c r="H41" s="219">
        <v>0</v>
      </c>
      <c r="I41" s="219">
        <v>357500</v>
      </c>
      <c r="J41" s="219">
        <v>106914</v>
      </c>
      <c r="K41" s="219">
        <f t="shared" si="0"/>
        <v>742126</v>
      </c>
    </row>
    <row r="42" spans="1:11" ht="18" customHeight="1" x14ac:dyDescent="0.25">
      <c r="A42" s="230">
        <v>34</v>
      </c>
      <c r="B42" s="254" t="s">
        <v>274</v>
      </c>
      <c r="C42" s="263">
        <v>0</v>
      </c>
      <c r="D42" s="263">
        <v>0</v>
      </c>
      <c r="E42" s="219">
        <v>34968</v>
      </c>
      <c r="F42" s="219">
        <v>86296</v>
      </c>
      <c r="G42" s="219">
        <v>117336</v>
      </c>
      <c r="H42" s="219">
        <v>116104</v>
      </c>
      <c r="I42" s="219">
        <v>357500</v>
      </c>
      <c r="J42" s="219">
        <v>89095</v>
      </c>
      <c r="K42" s="219">
        <f t="shared" si="0"/>
        <v>801299</v>
      </c>
    </row>
    <row r="43" spans="1:11" ht="18" customHeight="1" x14ac:dyDescent="0.25">
      <c r="A43" s="230">
        <v>35</v>
      </c>
      <c r="B43" s="254" t="s">
        <v>275</v>
      </c>
      <c r="C43" s="263">
        <v>0</v>
      </c>
      <c r="D43" s="263">
        <v>0</v>
      </c>
      <c r="E43" s="219">
        <v>26226</v>
      </c>
      <c r="F43" s="219">
        <v>123280</v>
      </c>
      <c r="G43" s="219">
        <v>156448</v>
      </c>
      <c r="H43" s="219">
        <v>0</v>
      </c>
      <c r="I43" s="219">
        <v>357500</v>
      </c>
      <c r="J43" s="219">
        <v>89095</v>
      </c>
      <c r="K43" s="219">
        <f t="shared" si="0"/>
        <v>752549</v>
      </c>
    </row>
    <row r="44" spans="1:11" ht="18" customHeight="1" x14ac:dyDescent="0.25">
      <c r="A44" s="230">
        <v>36</v>
      </c>
      <c r="B44" s="254" t="s">
        <v>296</v>
      </c>
      <c r="C44" s="219">
        <v>78678</v>
      </c>
      <c r="D44" s="219">
        <v>268072</v>
      </c>
      <c r="E44" s="219">
        <v>349680</v>
      </c>
      <c r="F44" s="219">
        <v>493120</v>
      </c>
      <c r="G44" s="219">
        <v>391120</v>
      </c>
      <c r="H44" s="219">
        <v>174156</v>
      </c>
      <c r="I44" s="219">
        <v>1287000</v>
      </c>
      <c r="J44" s="219">
        <v>213828</v>
      </c>
      <c r="K44" s="219">
        <f t="shared" si="0"/>
        <v>3255654</v>
      </c>
    </row>
    <row r="45" spans="1:11" ht="18" customHeight="1" x14ac:dyDescent="0.25">
      <c r="A45" s="230">
        <v>37</v>
      </c>
      <c r="B45" s="254" t="s">
        <v>277</v>
      </c>
      <c r="C45" s="263">
        <v>0</v>
      </c>
      <c r="D45" s="263">
        <v>0</v>
      </c>
      <c r="E45" s="219">
        <v>349680</v>
      </c>
      <c r="F45" s="219">
        <v>493120</v>
      </c>
      <c r="G45" s="219">
        <v>391120</v>
      </c>
      <c r="H45" s="219">
        <v>174156</v>
      </c>
      <c r="I45" s="219">
        <v>1430000</v>
      </c>
      <c r="J45" s="219">
        <v>213828</v>
      </c>
      <c r="K45" s="219">
        <f t="shared" si="0"/>
        <v>3051904</v>
      </c>
    </row>
    <row r="46" spans="1:11" ht="18" customHeight="1" x14ac:dyDescent="0.25">
      <c r="A46" s="230">
        <v>38</v>
      </c>
      <c r="B46" s="254" t="s">
        <v>278</v>
      </c>
      <c r="C46" s="219">
        <v>43710</v>
      </c>
      <c r="D46" s="219">
        <v>134036</v>
      </c>
      <c r="E46" s="219">
        <v>305970</v>
      </c>
      <c r="F46" s="219">
        <v>493120</v>
      </c>
      <c r="G46" s="219">
        <v>586680</v>
      </c>
      <c r="H46" s="219">
        <v>290260</v>
      </c>
      <c r="I46" s="219">
        <v>1430000</v>
      </c>
      <c r="J46" s="219">
        <v>213828</v>
      </c>
      <c r="K46" s="219">
        <f t="shared" si="0"/>
        <v>3497604</v>
      </c>
    </row>
    <row r="47" spans="1:11" ht="18" customHeight="1" x14ac:dyDescent="0.25">
      <c r="A47" s="230">
        <v>39</v>
      </c>
      <c r="B47" s="258" t="s">
        <v>279</v>
      </c>
      <c r="C47" s="263">
        <v>0</v>
      </c>
      <c r="D47" s="263">
        <v>0</v>
      </c>
      <c r="E47" s="219">
        <v>26226</v>
      </c>
      <c r="F47" s="219">
        <v>49312</v>
      </c>
      <c r="G47" s="219">
        <v>117336</v>
      </c>
      <c r="H47" s="219">
        <v>0</v>
      </c>
      <c r="I47" s="219">
        <v>214500</v>
      </c>
      <c r="J47" s="219">
        <v>53457</v>
      </c>
      <c r="K47" s="219">
        <f t="shared" si="0"/>
        <v>460831</v>
      </c>
    </row>
    <row r="48" spans="1:11" ht="18" customHeight="1" x14ac:dyDescent="0.25">
      <c r="A48" s="230">
        <v>40</v>
      </c>
      <c r="B48" s="254" t="s">
        <v>280</v>
      </c>
      <c r="C48" s="219">
        <v>43710</v>
      </c>
      <c r="D48" s="219">
        <v>201054</v>
      </c>
      <c r="E48" s="219">
        <v>131130</v>
      </c>
      <c r="F48" s="219">
        <v>369840</v>
      </c>
      <c r="G48" s="219">
        <v>391120</v>
      </c>
      <c r="H48" s="219">
        <v>0</v>
      </c>
      <c r="I48" s="219">
        <v>1072500</v>
      </c>
      <c r="J48" s="219">
        <v>142552</v>
      </c>
      <c r="K48" s="219">
        <f t="shared" si="0"/>
        <v>2351906</v>
      </c>
    </row>
    <row r="49" spans="1:11" ht="18" customHeight="1" x14ac:dyDescent="0.25">
      <c r="A49" s="967" t="s">
        <v>297</v>
      </c>
      <c r="B49" s="967"/>
      <c r="C49" s="224">
        <f>SUM(C5:C48)</f>
        <v>166098</v>
      </c>
      <c r="D49" s="224">
        <f>SUM(D5:D48)</f>
        <v>603162</v>
      </c>
      <c r="E49" s="224">
        <f t="shared" ref="E49:J49" si="1">SUM(E5:E48)</f>
        <v>4655115</v>
      </c>
      <c r="F49" s="224">
        <f t="shared" si="1"/>
        <v>4074404</v>
      </c>
      <c r="G49" s="224">
        <f t="shared" si="1"/>
        <v>5866800</v>
      </c>
      <c r="H49" s="224">
        <f t="shared" si="1"/>
        <v>3686302</v>
      </c>
      <c r="I49" s="224">
        <f t="shared" si="1"/>
        <v>21557250</v>
      </c>
      <c r="J49" s="224">
        <f t="shared" si="1"/>
        <v>7002867</v>
      </c>
      <c r="K49" s="224">
        <f>SUM(C49:J49)</f>
        <v>47611998</v>
      </c>
    </row>
    <row r="50" spans="1:11" ht="18" customHeight="1" x14ac:dyDescent="0.25">
      <c r="A50" s="264"/>
      <c r="B50" s="265"/>
      <c r="C50" s="265"/>
      <c r="D50" s="265"/>
      <c r="E50" s="265"/>
      <c r="F50" s="265"/>
      <c r="G50" s="265"/>
      <c r="H50" s="266"/>
      <c r="I50" s="944" t="s">
        <v>159</v>
      </c>
      <c r="J50" s="944"/>
      <c r="K50" s="224">
        <f>K49*0.16</f>
        <v>7617919.6799999997</v>
      </c>
    </row>
    <row r="51" spans="1:11" ht="18" customHeight="1" x14ac:dyDescent="0.25">
      <c r="A51" s="247"/>
      <c r="B51" s="257"/>
      <c r="C51" s="257"/>
      <c r="D51" s="257"/>
      <c r="E51" s="257"/>
      <c r="F51" s="257"/>
      <c r="G51" s="257"/>
      <c r="H51" s="267"/>
      <c r="I51" s="944" t="s">
        <v>298</v>
      </c>
      <c r="J51" s="944"/>
      <c r="K51" s="268">
        <f>SUM(K49:K50)</f>
        <v>55229917.68</v>
      </c>
    </row>
  </sheetData>
  <mergeCells count="5">
    <mergeCell ref="A2:K2"/>
    <mergeCell ref="A3:K3"/>
    <mergeCell ref="A49:B49"/>
    <mergeCell ref="I50:J50"/>
    <mergeCell ref="I51:J51"/>
  </mergeCells>
  <printOptions horizontalCentered="1" verticalCentered="1"/>
  <pageMargins left="1.02" right="0.61" top="0.53" bottom="0.75" header="0.3" footer="0.38"/>
  <pageSetup paperSize="5" scale="85" orientation="landscape" r:id="rId1"/>
  <headerFooter>
    <oddFooter xml:space="preserve">&amp;C
</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M57"/>
  <sheetViews>
    <sheetView view="pageLayout" zoomScaleNormal="100" workbookViewId="0">
      <selection activeCell="B4" sqref="B4:M57"/>
    </sheetView>
  </sheetViews>
  <sheetFormatPr baseColWidth="10" defaultRowHeight="15" x14ac:dyDescent="0.25"/>
  <cols>
    <col min="1" max="1" width="11.42578125" style="113"/>
    <col min="2" max="2" width="4.28515625" style="262" customWidth="1"/>
    <col min="3" max="3" width="20" style="113" customWidth="1"/>
    <col min="4" max="4" width="11.85546875" style="113" customWidth="1"/>
    <col min="5" max="6" width="10.140625" style="113" bestFit="1" customWidth="1"/>
    <col min="7" max="7" width="10.42578125" style="113" bestFit="1" customWidth="1"/>
    <col min="8" max="8" width="9.140625" style="113" bestFit="1" customWidth="1"/>
    <col min="9" max="9" width="9.85546875" style="113" customWidth="1"/>
    <col min="10" max="10" width="9.42578125" style="113" bestFit="1" customWidth="1"/>
    <col min="11" max="11" width="10.140625" style="113" bestFit="1" customWidth="1"/>
    <col min="12" max="12" width="9.140625" style="113" bestFit="1" customWidth="1"/>
    <col min="13" max="13" width="12.28515625" style="113" customWidth="1"/>
    <col min="14" max="16384" width="11.42578125" style="113"/>
  </cols>
  <sheetData>
    <row r="2" spans="2:13" x14ac:dyDescent="0.25">
      <c r="B2" s="1019"/>
      <c r="C2" s="1019"/>
      <c r="D2" s="1019"/>
      <c r="E2" s="1019"/>
      <c r="F2" s="1019"/>
      <c r="G2" s="1019"/>
      <c r="H2" s="1019"/>
      <c r="I2" s="1019"/>
      <c r="J2" s="1019"/>
      <c r="K2" s="1019"/>
      <c r="L2" s="1019"/>
      <c r="M2" s="1019"/>
    </row>
    <row r="3" spans="2:13" x14ac:dyDescent="0.25">
      <c r="B3" s="588"/>
      <c r="C3" s="588"/>
      <c r="D3" s="588"/>
      <c r="E3" s="588"/>
      <c r="F3" s="588"/>
      <c r="G3" s="588"/>
      <c r="H3" s="588"/>
      <c r="I3" s="588"/>
      <c r="J3" s="588"/>
      <c r="K3" s="588"/>
      <c r="L3" s="588"/>
      <c r="M3" s="588"/>
    </row>
    <row r="4" spans="2:13" x14ac:dyDescent="0.25">
      <c r="B4" s="934" t="s">
        <v>1890</v>
      </c>
      <c r="C4" s="948"/>
      <c r="D4" s="948"/>
      <c r="E4" s="948"/>
      <c r="F4" s="948"/>
      <c r="G4" s="948"/>
      <c r="H4" s="948"/>
      <c r="I4" s="948"/>
      <c r="J4" s="948"/>
      <c r="K4" s="948"/>
      <c r="L4" s="948"/>
      <c r="M4" s="935"/>
    </row>
    <row r="5" spans="2:13" s="216" customFormat="1" ht="99" customHeight="1" x14ac:dyDescent="0.25">
      <c r="B5" s="227" t="s">
        <v>346</v>
      </c>
      <c r="C5" s="741" t="s">
        <v>287</v>
      </c>
      <c r="D5" s="261" t="s">
        <v>290</v>
      </c>
      <c r="E5" s="260" t="s">
        <v>1908</v>
      </c>
      <c r="F5" s="260" t="s">
        <v>622</v>
      </c>
      <c r="G5" s="260" t="s">
        <v>1465</v>
      </c>
      <c r="H5" s="261" t="s">
        <v>584</v>
      </c>
      <c r="I5" s="260" t="s">
        <v>1461</v>
      </c>
      <c r="J5" s="260" t="s">
        <v>1462</v>
      </c>
      <c r="K5" s="260" t="s">
        <v>1463</v>
      </c>
      <c r="L5" s="260" t="s">
        <v>1464</v>
      </c>
      <c r="M5" s="227" t="s">
        <v>1460</v>
      </c>
    </row>
    <row r="6" spans="2:13" s="145" customFormat="1" ht="18" customHeight="1" x14ac:dyDescent="0.25">
      <c r="B6" s="230">
        <v>1</v>
      </c>
      <c r="C6" s="254" t="s">
        <v>241</v>
      </c>
      <c r="D6" s="219">
        <v>572000</v>
      </c>
      <c r="E6" s="219">
        <v>0</v>
      </c>
      <c r="F6" s="219">
        <v>0</v>
      </c>
      <c r="G6" s="219">
        <v>291379</v>
      </c>
      <c r="H6" s="219">
        <v>189400</v>
      </c>
      <c r="I6" s="219">
        <v>64330</v>
      </c>
      <c r="J6" s="219">
        <v>139636</v>
      </c>
      <c r="K6" s="219">
        <v>67800</v>
      </c>
      <c r="L6" s="219">
        <v>134500</v>
      </c>
      <c r="M6" s="219">
        <f t="shared" ref="M6:M24" si="0">SUM(D6:L6)</f>
        <v>1459045</v>
      </c>
    </row>
    <row r="7" spans="2:13" s="145" customFormat="1" ht="18" customHeight="1" x14ac:dyDescent="0.25">
      <c r="B7" s="230">
        <v>2</v>
      </c>
      <c r="C7" s="254" t="s">
        <v>242</v>
      </c>
      <c r="D7" s="219">
        <v>1144000</v>
      </c>
      <c r="E7" s="219">
        <v>390000</v>
      </c>
      <c r="F7" s="219">
        <v>1903940</v>
      </c>
      <c r="G7" s="219">
        <v>291379</v>
      </c>
      <c r="H7" s="219">
        <v>568200</v>
      </c>
      <c r="I7" s="219">
        <v>91900</v>
      </c>
      <c r="J7" s="219">
        <v>199480</v>
      </c>
      <c r="K7" s="219">
        <v>108480</v>
      </c>
      <c r="L7" s="219">
        <v>215200</v>
      </c>
      <c r="M7" s="219">
        <f t="shared" si="0"/>
        <v>4912579</v>
      </c>
    </row>
    <row r="8" spans="2:13" s="145" customFormat="1" ht="18" customHeight="1" x14ac:dyDescent="0.25">
      <c r="B8" s="230">
        <v>3</v>
      </c>
      <c r="C8" s="254" t="s">
        <v>243</v>
      </c>
      <c r="D8" s="219">
        <v>1144000</v>
      </c>
      <c r="E8" s="219">
        <v>0</v>
      </c>
      <c r="F8" s="219">
        <v>0</v>
      </c>
      <c r="G8" s="219">
        <v>291379</v>
      </c>
      <c r="H8" s="219">
        <v>189400</v>
      </c>
      <c r="I8" s="219">
        <v>45950</v>
      </c>
      <c r="J8" s="219">
        <v>149610</v>
      </c>
      <c r="K8" s="219">
        <v>67800</v>
      </c>
      <c r="L8" s="219">
        <v>134500</v>
      </c>
      <c r="M8" s="219">
        <f t="shared" si="0"/>
        <v>2022639</v>
      </c>
    </row>
    <row r="9" spans="2:13" s="145" customFormat="1" ht="18" customHeight="1" x14ac:dyDescent="0.25">
      <c r="B9" s="230">
        <v>4</v>
      </c>
      <c r="C9" s="254" t="s">
        <v>244</v>
      </c>
      <c r="D9" s="219">
        <v>1144000</v>
      </c>
      <c r="E9" s="219">
        <v>390000</v>
      </c>
      <c r="F9" s="219">
        <v>1479198</v>
      </c>
      <c r="G9" s="219">
        <v>291379</v>
      </c>
      <c r="H9" s="219">
        <v>189400</v>
      </c>
      <c r="I9" s="219">
        <v>45950</v>
      </c>
      <c r="J9" s="219">
        <v>99740</v>
      </c>
      <c r="K9" s="219">
        <v>67800</v>
      </c>
      <c r="L9" s="219">
        <v>134500</v>
      </c>
      <c r="M9" s="219">
        <f t="shared" si="0"/>
        <v>3841967</v>
      </c>
    </row>
    <row r="10" spans="2:13" s="145" customFormat="1" ht="18" customHeight="1" x14ac:dyDescent="0.25">
      <c r="B10" s="230">
        <v>5</v>
      </c>
      <c r="C10" s="254" t="s">
        <v>245</v>
      </c>
      <c r="D10" s="219">
        <v>858000</v>
      </c>
      <c r="E10" s="219">
        <v>0</v>
      </c>
      <c r="F10" s="219">
        <v>0</v>
      </c>
      <c r="G10" s="219">
        <v>291379</v>
      </c>
      <c r="H10" s="219">
        <v>189400</v>
      </c>
      <c r="I10" s="219">
        <v>36760</v>
      </c>
      <c r="J10" s="219">
        <v>49870</v>
      </c>
      <c r="K10" s="219">
        <v>40680</v>
      </c>
      <c r="L10" s="219">
        <v>80700</v>
      </c>
      <c r="M10" s="219">
        <f t="shared" si="0"/>
        <v>1546789</v>
      </c>
    </row>
    <row r="11" spans="2:13" s="145" customFormat="1" ht="18" customHeight="1" x14ac:dyDescent="0.25">
      <c r="B11" s="230">
        <v>6</v>
      </c>
      <c r="C11" s="254" t="s">
        <v>246</v>
      </c>
      <c r="D11" s="219">
        <v>1430000</v>
      </c>
      <c r="E11" s="219">
        <v>390000</v>
      </c>
      <c r="F11" s="219">
        <v>1479198</v>
      </c>
      <c r="G11" s="219">
        <v>291379</v>
      </c>
      <c r="H11" s="219">
        <v>284100</v>
      </c>
      <c r="I11" s="219">
        <v>36760</v>
      </c>
      <c r="J11" s="219">
        <v>99740</v>
      </c>
      <c r="K11" s="219">
        <v>40680</v>
      </c>
      <c r="L11" s="219">
        <v>80700</v>
      </c>
      <c r="M11" s="219">
        <f t="shared" si="0"/>
        <v>4132557</v>
      </c>
    </row>
    <row r="12" spans="2:13" s="145" customFormat="1" ht="18" customHeight="1" x14ac:dyDescent="0.25">
      <c r="B12" s="230">
        <v>7</v>
      </c>
      <c r="C12" s="254" t="s">
        <v>526</v>
      </c>
      <c r="D12" s="219">
        <v>858000</v>
      </c>
      <c r="E12" s="219">
        <v>0</v>
      </c>
      <c r="F12" s="219">
        <v>0</v>
      </c>
      <c r="G12" s="219">
        <v>291379</v>
      </c>
      <c r="H12" s="219">
        <v>189400</v>
      </c>
      <c r="I12" s="219">
        <v>36760</v>
      </c>
      <c r="J12" s="219">
        <v>79792</v>
      </c>
      <c r="K12" s="219">
        <v>40680</v>
      </c>
      <c r="L12" s="219">
        <v>80700</v>
      </c>
      <c r="M12" s="219">
        <f t="shared" si="0"/>
        <v>1576711</v>
      </c>
    </row>
    <row r="13" spans="2:13" s="145" customFormat="1" ht="18" customHeight="1" x14ac:dyDescent="0.25">
      <c r="B13" s="230">
        <v>8</v>
      </c>
      <c r="C13" s="254" t="s">
        <v>248</v>
      </c>
      <c r="D13" s="219">
        <v>858000</v>
      </c>
      <c r="E13" s="219">
        <v>390000</v>
      </c>
      <c r="F13" s="219">
        <v>1479198</v>
      </c>
      <c r="G13" s="219">
        <v>291379</v>
      </c>
      <c r="H13" s="219">
        <v>151520</v>
      </c>
      <c r="I13" s="219">
        <v>36760</v>
      </c>
      <c r="J13" s="219">
        <v>79792</v>
      </c>
      <c r="K13" s="219">
        <v>67800</v>
      </c>
      <c r="L13" s="219">
        <v>134500</v>
      </c>
      <c r="M13" s="219">
        <f t="shared" si="0"/>
        <v>3488949</v>
      </c>
    </row>
    <row r="14" spans="2:13" s="145" customFormat="1" ht="18" customHeight="1" x14ac:dyDescent="0.25">
      <c r="B14" s="230">
        <v>9</v>
      </c>
      <c r="C14" s="256" t="s">
        <v>249</v>
      </c>
      <c r="D14" s="219">
        <v>858000</v>
      </c>
      <c r="E14" s="219">
        <v>0</v>
      </c>
      <c r="F14" s="219">
        <v>0</v>
      </c>
      <c r="G14" s="219">
        <v>0</v>
      </c>
      <c r="H14" s="219">
        <v>151520</v>
      </c>
      <c r="I14" s="219">
        <v>22975</v>
      </c>
      <c r="J14" s="219">
        <v>49870</v>
      </c>
      <c r="K14" s="219">
        <v>40680</v>
      </c>
      <c r="L14" s="219">
        <v>80700</v>
      </c>
      <c r="M14" s="219">
        <f t="shared" si="0"/>
        <v>1203745</v>
      </c>
    </row>
    <row r="15" spans="2:13" s="145" customFormat="1" ht="18" customHeight="1" x14ac:dyDescent="0.25">
      <c r="B15" s="230">
        <v>10</v>
      </c>
      <c r="C15" s="254" t="s">
        <v>250</v>
      </c>
      <c r="D15" s="219">
        <v>858000</v>
      </c>
      <c r="E15" s="219">
        <v>390000</v>
      </c>
      <c r="F15" s="219">
        <v>1479198</v>
      </c>
      <c r="G15" s="219">
        <v>291379</v>
      </c>
      <c r="H15" s="219">
        <v>151520</v>
      </c>
      <c r="I15" s="219">
        <v>22975</v>
      </c>
      <c r="J15" s="219">
        <v>49870</v>
      </c>
      <c r="K15" s="219">
        <v>40680</v>
      </c>
      <c r="L15" s="219">
        <v>80700</v>
      </c>
      <c r="M15" s="219">
        <f t="shared" si="0"/>
        <v>3364322</v>
      </c>
    </row>
    <row r="16" spans="2:13" s="145" customFormat="1" ht="18" customHeight="1" x14ac:dyDescent="0.25">
      <c r="B16" s="230">
        <v>11</v>
      </c>
      <c r="C16" s="254" t="s">
        <v>251</v>
      </c>
      <c r="D16" s="219">
        <v>858000</v>
      </c>
      <c r="E16" s="219">
        <v>390000</v>
      </c>
      <c r="F16" s="219">
        <v>1479198</v>
      </c>
      <c r="G16" s="219">
        <v>291379</v>
      </c>
      <c r="H16" s="219">
        <v>189400</v>
      </c>
      <c r="I16" s="219">
        <v>22975</v>
      </c>
      <c r="J16" s="219">
        <v>49870</v>
      </c>
      <c r="K16" s="219">
        <v>67800</v>
      </c>
      <c r="L16" s="219">
        <v>134500</v>
      </c>
      <c r="M16" s="219">
        <f t="shared" si="0"/>
        <v>3483122</v>
      </c>
    </row>
    <row r="17" spans="2:13" s="145" customFormat="1" ht="18" customHeight="1" x14ac:dyDescent="0.25">
      <c r="B17" s="230">
        <v>12</v>
      </c>
      <c r="C17" s="254" t="s">
        <v>252</v>
      </c>
      <c r="D17" s="219">
        <v>858000</v>
      </c>
      <c r="E17" s="219">
        <v>0</v>
      </c>
      <c r="F17" s="219">
        <v>0</v>
      </c>
      <c r="G17" s="219">
        <v>291379</v>
      </c>
      <c r="H17" s="219">
        <v>151520</v>
      </c>
      <c r="I17" s="219">
        <v>22975</v>
      </c>
      <c r="J17" s="219">
        <v>49870</v>
      </c>
      <c r="K17" s="219">
        <v>67800</v>
      </c>
      <c r="L17" s="219">
        <v>134500</v>
      </c>
      <c r="M17" s="219">
        <f t="shared" si="0"/>
        <v>1576044</v>
      </c>
    </row>
    <row r="18" spans="2:13" s="145" customFormat="1" ht="18" customHeight="1" x14ac:dyDescent="0.25">
      <c r="B18" s="230">
        <v>13</v>
      </c>
      <c r="C18" s="254" t="s">
        <v>253</v>
      </c>
      <c r="D18" s="219">
        <v>715000</v>
      </c>
      <c r="E18" s="219">
        <v>390000</v>
      </c>
      <c r="F18" s="219">
        <v>1479198</v>
      </c>
      <c r="G18" s="219">
        <v>291379</v>
      </c>
      <c r="H18" s="219">
        <v>151520</v>
      </c>
      <c r="I18" s="219">
        <v>22975</v>
      </c>
      <c r="J18" s="219">
        <v>49870</v>
      </c>
      <c r="K18" s="219">
        <v>67800</v>
      </c>
      <c r="L18" s="219">
        <v>134500</v>
      </c>
      <c r="M18" s="219">
        <f t="shared" si="0"/>
        <v>3302242</v>
      </c>
    </row>
    <row r="19" spans="2:13" s="145" customFormat="1" ht="18" customHeight="1" x14ac:dyDescent="0.25">
      <c r="B19" s="230">
        <v>14</v>
      </c>
      <c r="C19" s="256" t="s">
        <v>254</v>
      </c>
      <c r="D19" s="219">
        <v>715000</v>
      </c>
      <c r="E19" s="219">
        <v>0</v>
      </c>
      <c r="F19" s="219">
        <v>0</v>
      </c>
      <c r="G19" s="219">
        <v>291379</v>
      </c>
      <c r="H19" s="219">
        <v>151520</v>
      </c>
      <c r="I19" s="219">
        <v>22975</v>
      </c>
      <c r="J19" s="219">
        <v>49870</v>
      </c>
      <c r="K19" s="219">
        <v>67800</v>
      </c>
      <c r="L19" s="219">
        <v>134500</v>
      </c>
      <c r="M19" s="219">
        <f t="shared" si="0"/>
        <v>1433044</v>
      </c>
    </row>
    <row r="20" spans="2:13" s="145" customFormat="1" ht="18" customHeight="1" x14ac:dyDescent="0.25">
      <c r="B20" s="230">
        <v>15</v>
      </c>
      <c r="C20" s="254" t="s">
        <v>255</v>
      </c>
      <c r="D20" s="219">
        <v>572000</v>
      </c>
      <c r="E20" s="219">
        <v>390000</v>
      </c>
      <c r="F20" s="219">
        <v>1479198</v>
      </c>
      <c r="G20" s="219">
        <v>291379</v>
      </c>
      <c r="H20" s="219">
        <v>151520</v>
      </c>
      <c r="I20" s="219">
        <v>22975</v>
      </c>
      <c r="J20" s="219">
        <v>49870</v>
      </c>
      <c r="K20" s="219">
        <v>67800</v>
      </c>
      <c r="L20" s="219">
        <v>134500</v>
      </c>
      <c r="M20" s="219">
        <f t="shared" si="0"/>
        <v>3159242</v>
      </c>
    </row>
    <row r="21" spans="2:13" s="145" customFormat="1" ht="18" customHeight="1" x14ac:dyDescent="0.25">
      <c r="B21" s="230">
        <v>16</v>
      </c>
      <c r="C21" s="254" t="s">
        <v>256</v>
      </c>
      <c r="D21" s="219">
        <v>715000</v>
      </c>
      <c r="E21" s="219">
        <v>0</v>
      </c>
      <c r="F21" s="219">
        <v>0</v>
      </c>
      <c r="G21" s="219">
        <v>291379</v>
      </c>
      <c r="H21" s="219">
        <v>94700</v>
      </c>
      <c r="I21" s="219">
        <v>13785</v>
      </c>
      <c r="J21" s="219">
        <v>29922</v>
      </c>
      <c r="K21" s="219">
        <v>40680</v>
      </c>
      <c r="L21" s="219">
        <v>80700</v>
      </c>
      <c r="M21" s="219">
        <f t="shared" si="0"/>
        <v>1266166</v>
      </c>
    </row>
    <row r="22" spans="2:13" s="145" customFormat="1" ht="18" customHeight="1" x14ac:dyDescent="0.25">
      <c r="B22" s="230">
        <v>17</v>
      </c>
      <c r="C22" s="254" t="s">
        <v>257</v>
      </c>
      <c r="D22" s="219">
        <v>572000</v>
      </c>
      <c r="E22" s="219">
        <v>390000</v>
      </c>
      <c r="F22" s="219">
        <v>1479198</v>
      </c>
      <c r="G22" s="219">
        <v>291379</v>
      </c>
      <c r="H22" s="219">
        <v>94700</v>
      </c>
      <c r="I22" s="219">
        <v>13785</v>
      </c>
      <c r="J22" s="219">
        <v>29922</v>
      </c>
      <c r="K22" s="219">
        <v>40680</v>
      </c>
      <c r="L22" s="219">
        <v>80700</v>
      </c>
      <c r="M22" s="219">
        <f t="shared" si="0"/>
        <v>2992364</v>
      </c>
    </row>
    <row r="23" spans="2:13" s="145" customFormat="1" ht="18" customHeight="1" x14ac:dyDescent="0.25">
      <c r="B23" s="230">
        <v>18</v>
      </c>
      <c r="C23" s="254" t="s">
        <v>258</v>
      </c>
      <c r="D23" s="219">
        <v>858000</v>
      </c>
      <c r="E23" s="219">
        <v>390000</v>
      </c>
      <c r="F23" s="219">
        <v>1479198</v>
      </c>
      <c r="G23" s="219">
        <v>291379</v>
      </c>
      <c r="H23" s="219">
        <v>151520</v>
      </c>
      <c r="I23" s="219">
        <v>22975</v>
      </c>
      <c r="J23" s="219">
        <v>49870</v>
      </c>
      <c r="K23" s="219">
        <v>67800</v>
      </c>
      <c r="L23" s="219">
        <v>134500</v>
      </c>
      <c r="M23" s="219">
        <f t="shared" si="0"/>
        <v>3445242</v>
      </c>
    </row>
    <row r="24" spans="2:13" s="145" customFormat="1" ht="18" customHeight="1" x14ac:dyDescent="0.25">
      <c r="B24" s="638">
        <v>19</v>
      </c>
      <c r="C24" s="639" t="s">
        <v>259</v>
      </c>
      <c r="D24" s="640">
        <v>1716000</v>
      </c>
      <c r="E24" s="640">
        <v>780000</v>
      </c>
      <c r="F24" s="640">
        <v>3807880</v>
      </c>
      <c r="G24" s="640">
        <v>291379</v>
      </c>
      <c r="H24" s="640">
        <v>303040</v>
      </c>
      <c r="I24" s="640">
        <v>45950</v>
      </c>
      <c r="J24" s="640">
        <v>99740</v>
      </c>
      <c r="K24" s="640">
        <v>135600</v>
      </c>
      <c r="L24" s="640">
        <v>269000</v>
      </c>
      <c r="M24" s="640">
        <f t="shared" si="0"/>
        <v>7448589</v>
      </c>
    </row>
    <row r="25" spans="2:13" s="165" customFormat="1" ht="18" customHeight="1" x14ac:dyDescent="0.25">
      <c r="B25" s="282"/>
      <c r="C25" s="631"/>
      <c r="D25" s="633"/>
      <c r="E25" s="633"/>
      <c r="F25" s="633"/>
      <c r="G25" s="633"/>
      <c r="H25" s="633"/>
      <c r="I25" s="633"/>
      <c r="J25" s="633"/>
      <c r="K25" s="633"/>
      <c r="L25" s="633"/>
      <c r="M25" s="633"/>
    </row>
    <row r="26" spans="2:13" s="165" customFormat="1" ht="18" customHeight="1" x14ac:dyDescent="0.25">
      <c r="B26" s="743"/>
      <c r="C26" s="634"/>
      <c r="D26" s="636"/>
      <c r="E26" s="636"/>
      <c r="F26" s="636"/>
      <c r="G26" s="636"/>
      <c r="H26" s="636"/>
      <c r="I26" s="636"/>
      <c r="J26" s="636"/>
      <c r="K26" s="636"/>
      <c r="L26" s="636"/>
      <c r="M26" s="636"/>
    </row>
    <row r="27" spans="2:13" s="165" customFormat="1" ht="18" customHeight="1" x14ac:dyDescent="0.25">
      <c r="B27" s="743"/>
      <c r="C27" s="634"/>
      <c r="D27" s="636"/>
      <c r="E27" s="636"/>
      <c r="F27" s="636"/>
      <c r="G27" s="636"/>
      <c r="H27" s="636"/>
      <c r="I27" s="636"/>
      <c r="J27" s="636"/>
      <c r="K27" s="636"/>
      <c r="L27" s="636"/>
      <c r="M27" s="636"/>
    </row>
    <row r="28" spans="2:13" s="165" customFormat="1" ht="18" customHeight="1" x14ac:dyDescent="0.25">
      <c r="B28" s="743"/>
      <c r="C28" s="634"/>
      <c r="D28" s="636"/>
      <c r="E28" s="636"/>
      <c r="F28" s="636"/>
      <c r="G28" s="636"/>
      <c r="H28" s="636"/>
      <c r="I28" s="636"/>
      <c r="J28" s="636"/>
      <c r="K28" s="636"/>
      <c r="L28" s="636"/>
      <c r="M28" s="636"/>
    </row>
    <row r="29" spans="2:13" s="165" customFormat="1" ht="18" customHeight="1" x14ac:dyDescent="0.25">
      <c r="B29" s="743"/>
      <c r="C29" s="634"/>
      <c r="D29" s="636"/>
      <c r="E29" s="636"/>
      <c r="F29" s="636"/>
      <c r="G29" s="636"/>
      <c r="H29" s="636"/>
      <c r="I29" s="636"/>
      <c r="J29" s="636"/>
      <c r="K29" s="636"/>
      <c r="L29" s="636"/>
      <c r="M29" s="636"/>
    </row>
    <row r="30" spans="2:13" s="165" customFormat="1" ht="18" customHeight="1" x14ac:dyDescent="0.25">
      <c r="B30" s="743"/>
      <c r="C30" s="634"/>
      <c r="D30" s="636"/>
      <c r="E30" s="636"/>
      <c r="F30" s="636"/>
      <c r="G30" s="636"/>
      <c r="H30" s="636"/>
      <c r="I30" s="636"/>
      <c r="J30" s="636"/>
      <c r="K30" s="636"/>
      <c r="L30" s="636"/>
      <c r="M30" s="636"/>
    </row>
    <row r="31" spans="2:13" s="165" customFormat="1" ht="18" customHeight="1" x14ac:dyDescent="0.25">
      <c r="B31" s="641"/>
      <c r="C31" s="642"/>
      <c r="D31" s="643"/>
      <c r="E31" s="643"/>
      <c r="F31" s="643"/>
      <c r="G31" s="643"/>
      <c r="H31" s="643"/>
      <c r="I31" s="643"/>
      <c r="J31" s="643"/>
      <c r="K31" s="643"/>
      <c r="L31" s="643"/>
      <c r="M31" s="643"/>
    </row>
    <row r="32" spans="2:13" s="145" customFormat="1" ht="18" customHeight="1" x14ac:dyDescent="0.25">
      <c r="B32" s="628">
        <v>20</v>
      </c>
      <c r="C32" s="629" t="s">
        <v>260</v>
      </c>
      <c r="D32" s="630">
        <v>858000</v>
      </c>
      <c r="E32" s="630">
        <v>0</v>
      </c>
      <c r="F32" s="630">
        <v>0</v>
      </c>
      <c r="G32" s="630">
        <v>291379</v>
      </c>
      <c r="H32" s="630">
        <v>94700</v>
      </c>
      <c r="I32" s="630">
        <v>22975</v>
      </c>
      <c r="J32" s="630">
        <v>49870</v>
      </c>
      <c r="K32" s="630">
        <v>40680</v>
      </c>
      <c r="L32" s="630">
        <v>80700</v>
      </c>
      <c r="M32" s="630">
        <f t="shared" ref="M32:M53" si="1">SUM(D32:L32)</f>
        <v>1438304</v>
      </c>
    </row>
    <row r="33" spans="2:13" s="145" customFormat="1" ht="18" customHeight="1" x14ac:dyDescent="0.25">
      <c r="B33" s="230">
        <v>21</v>
      </c>
      <c r="C33" s="254" t="s">
        <v>261</v>
      </c>
      <c r="D33" s="219">
        <v>1144000</v>
      </c>
      <c r="E33" s="219">
        <v>390000</v>
      </c>
      <c r="F33" s="219">
        <v>1479198</v>
      </c>
      <c r="G33" s="219">
        <v>291379</v>
      </c>
      <c r="H33" s="219">
        <v>94700</v>
      </c>
      <c r="I33" s="219">
        <v>22975</v>
      </c>
      <c r="J33" s="219">
        <v>49870</v>
      </c>
      <c r="K33" s="219">
        <v>40680</v>
      </c>
      <c r="L33" s="219">
        <v>80700</v>
      </c>
      <c r="M33" s="219">
        <f t="shared" si="1"/>
        <v>3593502</v>
      </c>
    </row>
    <row r="34" spans="2:13" s="145" customFormat="1" ht="18" customHeight="1" x14ac:dyDescent="0.25">
      <c r="B34" s="230">
        <v>22</v>
      </c>
      <c r="C34" s="254" t="s">
        <v>262</v>
      </c>
      <c r="D34" s="219">
        <v>1144000</v>
      </c>
      <c r="E34" s="219">
        <v>390000</v>
      </c>
      <c r="F34" s="219">
        <v>1479198</v>
      </c>
      <c r="G34" s="219">
        <v>291379</v>
      </c>
      <c r="H34" s="219">
        <v>94700</v>
      </c>
      <c r="I34" s="219">
        <v>22975</v>
      </c>
      <c r="J34" s="219">
        <v>49870</v>
      </c>
      <c r="K34" s="219">
        <v>67800</v>
      </c>
      <c r="L34" s="219">
        <v>134500</v>
      </c>
      <c r="M34" s="219">
        <f t="shared" si="1"/>
        <v>3674422</v>
      </c>
    </row>
    <row r="35" spans="2:13" s="145" customFormat="1" ht="18" customHeight="1" x14ac:dyDescent="0.25">
      <c r="B35" s="230">
        <v>23</v>
      </c>
      <c r="C35" s="254" t="s">
        <v>263</v>
      </c>
      <c r="D35" s="219">
        <v>572000</v>
      </c>
      <c r="E35" s="219">
        <v>390000</v>
      </c>
      <c r="F35" s="219">
        <v>1479198</v>
      </c>
      <c r="G35" s="219">
        <v>291379</v>
      </c>
      <c r="H35" s="219">
        <v>56820</v>
      </c>
      <c r="I35" s="219">
        <v>13785</v>
      </c>
      <c r="J35" s="219">
        <v>29922</v>
      </c>
      <c r="K35" s="219">
        <v>67800</v>
      </c>
      <c r="L35" s="219">
        <v>134500</v>
      </c>
      <c r="M35" s="219">
        <f t="shared" si="1"/>
        <v>3035404</v>
      </c>
    </row>
    <row r="36" spans="2:13" s="145" customFormat="1" ht="18" customHeight="1" x14ac:dyDescent="0.25">
      <c r="B36" s="230">
        <v>24</v>
      </c>
      <c r="C36" s="254" t="s">
        <v>264</v>
      </c>
      <c r="D36" s="219">
        <v>858000</v>
      </c>
      <c r="E36" s="219">
        <v>390000</v>
      </c>
      <c r="F36" s="219">
        <v>1479198</v>
      </c>
      <c r="G36" s="219">
        <v>291379</v>
      </c>
      <c r="H36" s="219">
        <v>94700</v>
      </c>
      <c r="I36" s="219">
        <v>22975</v>
      </c>
      <c r="J36" s="219">
        <v>49870</v>
      </c>
      <c r="K36" s="219">
        <v>67800</v>
      </c>
      <c r="L36" s="219">
        <v>134500</v>
      </c>
      <c r="M36" s="219">
        <f t="shared" si="1"/>
        <v>3388422</v>
      </c>
    </row>
    <row r="37" spans="2:13" s="145" customFormat="1" ht="18" customHeight="1" x14ac:dyDescent="0.25">
      <c r="B37" s="230">
        <v>25</v>
      </c>
      <c r="C37" s="254" t="s">
        <v>265</v>
      </c>
      <c r="D37" s="219">
        <v>1144000</v>
      </c>
      <c r="E37" s="219">
        <v>780000</v>
      </c>
      <c r="F37" s="219">
        <v>3807880</v>
      </c>
      <c r="G37" s="219">
        <v>0</v>
      </c>
      <c r="H37" s="219">
        <v>378800</v>
      </c>
      <c r="I37" s="219">
        <v>45950</v>
      </c>
      <c r="J37" s="219">
        <v>99740</v>
      </c>
      <c r="K37" s="219">
        <v>135600</v>
      </c>
      <c r="L37" s="219">
        <v>269000</v>
      </c>
      <c r="M37" s="219">
        <f t="shared" si="1"/>
        <v>6660970</v>
      </c>
    </row>
    <row r="38" spans="2:13" s="145" customFormat="1" ht="18" customHeight="1" x14ac:dyDescent="0.25">
      <c r="B38" s="230">
        <v>26</v>
      </c>
      <c r="C38" s="254" t="s">
        <v>266</v>
      </c>
      <c r="D38" s="219">
        <v>715000</v>
      </c>
      <c r="E38" s="219">
        <v>390000</v>
      </c>
      <c r="F38" s="219">
        <v>1479198</v>
      </c>
      <c r="G38" s="219">
        <v>291379</v>
      </c>
      <c r="H38" s="219">
        <v>94700</v>
      </c>
      <c r="I38" s="219">
        <v>22975</v>
      </c>
      <c r="J38" s="219">
        <v>49870</v>
      </c>
      <c r="K38" s="219">
        <v>40680</v>
      </c>
      <c r="L38" s="219">
        <v>80700</v>
      </c>
      <c r="M38" s="219">
        <f t="shared" si="1"/>
        <v>3164502</v>
      </c>
    </row>
    <row r="39" spans="2:13" s="145" customFormat="1" ht="18" customHeight="1" x14ac:dyDescent="0.25">
      <c r="B39" s="230">
        <v>27</v>
      </c>
      <c r="C39" s="254" t="s">
        <v>267</v>
      </c>
      <c r="D39" s="219">
        <v>1001000</v>
      </c>
      <c r="E39" s="219">
        <v>390000</v>
      </c>
      <c r="F39" s="219">
        <v>1479198</v>
      </c>
      <c r="G39" s="219">
        <v>291379</v>
      </c>
      <c r="H39" s="219">
        <v>113640</v>
      </c>
      <c r="I39" s="219">
        <v>22975</v>
      </c>
      <c r="J39" s="219">
        <v>49870</v>
      </c>
      <c r="K39" s="219">
        <v>40680</v>
      </c>
      <c r="L39" s="219">
        <v>80700</v>
      </c>
      <c r="M39" s="219">
        <f t="shared" si="1"/>
        <v>3469442</v>
      </c>
    </row>
    <row r="40" spans="2:13" s="145" customFormat="1" ht="18" customHeight="1" x14ac:dyDescent="0.25">
      <c r="B40" s="230">
        <v>28</v>
      </c>
      <c r="C40" s="254" t="s">
        <v>268</v>
      </c>
      <c r="D40" s="219">
        <v>1144000</v>
      </c>
      <c r="E40" s="219">
        <v>390000</v>
      </c>
      <c r="F40" s="219">
        <v>1479198</v>
      </c>
      <c r="G40" s="219">
        <v>291379</v>
      </c>
      <c r="H40" s="219">
        <v>113640</v>
      </c>
      <c r="I40" s="219">
        <v>22975</v>
      </c>
      <c r="J40" s="219">
        <v>49870</v>
      </c>
      <c r="K40" s="219">
        <v>67800</v>
      </c>
      <c r="L40" s="219">
        <v>134500</v>
      </c>
      <c r="M40" s="219">
        <f t="shared" si="1"/>
        <v>3693362</v>
      </c>
    </row>
    <row r="41" spans="2:13" s="145" customFormat="1" ht="18" customHeight="1" x14ac:dyDescent="0.25">
      <c r="B41" s="230">
        <v>29</v>
      </c>
      <c r="C41" s="254" t="s">
        <v>269</v>
      </c>
      <c r="D41" s="219">
        <v>715000</v>
      </c>
      <c r="E41" s="219">
        <v>390000</v>
      </c>
      <c r="F41" s="219">
        <v>1479198</v>
      </c>
      <c r="G41" s="219">
        <v>291379</v>
      </c>
      <c r="H41" s="219">
        <v>56820</v>
      </c>
      <c r="I41" s="219">
        <v>13785</v>
      </c>
      <c r="J41" s="219">
        <v>29922</v>
      </c>
      <c r="K41" s="219">
        <v>40680</v>
      </c>
      <c r="L41" s="219">
        <v>80700</v>
      </c>
      <c r="M41" s="219">
        <f t="shared" si="1"/>
        <v>3097484</v>
      </c>
    </row>
    <row r="42" spans="2:13" s="145" customFormat="1" ht="18" customHeight="1" x14ac:dyDescent="0.25">
      <c r="B42" s="230">
        <v>30</v>
      </c>
      <c r="C42" s="254" t="s">
        <v>270</v>
      </c>
      <c r="D42" s="219">
        <v>1001000</v>
      </c>
      <c r="E42" s="219">
        <v>390000</v>
      </c>
      <c r="F42" s="219">
        <v>1479198</v>
      </c>
      <c r="G42" s="219">
        <v>291379</v>
      </c>
      <c r="H42" s="219">
        <v>94700</v>
      </c>
      <c r="I42" s="219">
        <v>22975</v>
      </c>
      <c r="J42" s="219">
        <v>49870</v>
      </c>
      <c r="K42" s="219">
        <v>67800</v>
      </c>
      <c r="L42" s="219">
        <v>134500</v>
      </c>
      <c r="M42" s="219">
        <f t="shared" si="1"/>
        <v>3531422</v>
      </c>
    </row>
    <row r="43" spans="2:13" s="145" customFormat="1" ht="18" customHeight="1" x14ac:dyDescent="0.25">
      <c r="B43" s="230">
        <v>31</v>
      </c>
      <c r="C43" s="254" t="s">
        <v>271</v>
      </c>
      <c r="D43" s="219">
        <v>858000</v>
      </c>
      <c r="E43" s="219">
        <v>390000</v>
      </c>
      <c r="F43" s="219">
        <v>1479198</v>
      </c>
      <c r="G43" s="219">
        <v>291379</v>
      </c>
      <c r="H43" s="219">
        <v>94700</v>
      </c>
      <c r="I43" s="219">
        <v>22975</v>
      </c>
      <c r="J43" s="219">
        <v>49870</v>
      </c>
      <c r="K43" s="219">
        <v>67800</v>
      </c>
      <c r="L43" s="219">
        <v>134500</v>
      </c>
      <c r="M43" s="219">
        <f t="shared" si="1"/>
        <v>3388422</v>
      </c>
    </row>
    <row r="44" spans="2:13" s="145" customFormat="1" ht="18" customHeight="1" x14ac:dyDescent="0.25">
      <c r="B44" s="230">
        <v>32</v>
      </c>
      <c r="C44" s="254" t="s">
        <v>272</v>
      </c>
      <c r="D44" s="219">
        <v>572000</v>
      </c>
      <c r="E44" s="219">
        <v>0</v>
      </c>
      <c r="F44" s="219">
        <v>0</v>
      </c>
      <c r="G44" s="219">
        <v>291379</v>
      </c>
      <c r="H44" s="219">
        <v>56820</v>
      </c>
      <c r="I44" s="219">
        <v>13785</v>
      </c>
      <c r="J44" s="219">
        <v>29922</v>
      </c>
      <c r="K44" s="219">
        <v>27120</v>
      </c>
      <c r="L44" s="219">
        <v>53800</v>
      </c>
      <c r="M44" s="219">
        <f t="shared" si="1"/>
        <v>1044826</v>
      </c>
    </row>
    <row r="45" spans="2:13" s="145" customFormat="1" ht="18" customHeight="1" x14ac:dyDescent="0.25">
      <c r="B45" s="230">
        <v>33</v>
      </c>
      <c r="C45" s="254" t="s">
        <v>273</v>
      </c>
      <c r="D45" s="219">
        <v>1144000</v>
      </c>
      <c r="E45" s="219">
        <v>390000</v>
      </c>
      <c r="F45" s="219">
        <v>1479198</v>
      </c>
      <c r="G45" s="219">
        <v>291379</v>
      </c>
      <c r="H45" s="219">
        <v>94700</v>
      </c>
      <c r="I45" s="219">
        <v>22975</v>
      </c>
      <c r="J45" s="219">
        <v>49870</v>
      </c>
      <c r="K45" s="219">
        <v>40680</v>
      </c>
      <c r="L45" s="219">
        <v>80700</v>
      </c>
      <c r="M45" s="219">
        <f t="shared" si="1"/>
        <v>3593502</v>
      </c>
    </row>
    <row r="46" spans="2:13" s="145" customFormat="1" ht="18" customHeight="1" x14ac:dyDescent="0.25">
      <c r="B46" s="230">
        <v>34</v>
      </c>
      <c r="C46" s="254" t="s">
        <v>274</v>
      </c>
      <c r="D46" s="219">
        <v>572000</v>
      </c>
      <c r="E46" s="219">
        <v>390000</v>
      </c>
      <c r="F46" s="219">
        <v>1479198</v>
      </c>
      <c r="G46" s="219">
        <v>291379</v>
      </c>
      <c r="H46" s="219">
        <v>56820</v>
      </c>
      <c r="I46" s="219">
        <v>13785</v>
      </c>
      <c r="J46" s="219">
        <v>29922</v>
      </c>
      <c r="K46" s="219">
        <v>40680</v>
      </c>
      <c r="L46" s="219">
        <v>80700</v>
      </c>
      <c r="M46" s="219">
        <f t="shared" si="1"/>
        <v>2954484</v>
      </c>
    </row>
    <row r="47" spans="2:13" s="145" customFormat="1" ht="18" customHeight="1" x14ac:dyDescent="0.25">
      <c r="B47" s="230">
        <v>35</v>
      </c>
      <c r="C47" s="254" t="s">
        <v>275</v>
      </c>
      <c r="D47" s="219">
        <v>715000</v>
      </c>
      <c r="E47" s="219">
        <v>390000</v>
      </c>
      <c r="F47" s="219">
        <v>1479198</v>
      </c>
      <c r="G47" s="219">
        <v>291379</v>
      </c>
      <c r="H47" s="219">
        <v>94700</v>
      </c>
      <c r="I47" s="219">
        <v>13785</v>
      </c>
      <c r="J47" s="219">
        <v>29922</v>
      </c>
      <c r="K47" s="219">
        <v>67800</v>
      </c>
      <c r="L47" s="219">
        <v>134500</v>
      </c>
      <c r="M47" s="219">
        <f t="shared" si="1"/>
        <v>3216284</v>
      </c>
    </row>
    <row r="48" spans="2:13" s="145" customFormat="1" ht="18" customHeight="1" x14ac:dyDescent="0.25">
      <c r="B48" s="230">
        <v>36</v>
      </c>
      <c r="C48" s="254" t="s">
        <v>296</v>
      </c>
      <c r="D48" s="219">
        <v>2002000</v>
      </c>
      <c r="E48" s="219">
        <v>780000</v>
      </c>
      <c r="F48" s="219">
        <v>3807880</v>
      </c>
      <c r="G48" s="219">
        <v>291379</v>
      </c>
      <c r="H48" s="219">
        <v>189400</v>
      </c>
      <c r="I48" s="219">
        <v>36760</v>
      </c>
      <c r="J48" s="219">
        <v>79792</v>
      </c>
      <c r="K48" s="219">
        <v>67800</v>
      </c>
      <c r="L48" s="219">
        <v>134500</v>
      </c>
      <c r="M48" s="219">
        <f t="shared" si="1"/>
        <v>7389511</v>
      </c>
    </row>
    <row r="49" spans="2:13" s="145" customFormat="1" ht="18" customHeight="1" x14ac:dyDescent="0.25">
      <c r="B49" s="230">
        <v>37</v>
      </c>
      <c r="C49" s="254" t="s">
        <v>277</v>
      </c>
      <c r="D49" s="219">
        <v>2002000</v>
      </c>
      <c r="E49" s="219">
        <v>390000</v>
      </c>
      <c r="F49" s="219">
        <v>1903940</v>
      </c>
      <c r="G49" s="219">
        <v>291379</v>
      </c>
      <c r="H49" s="219">
        <v>189400</v>
      </c>
      <c r="I49" s="219">
        <v>36760</v>
      </c>
      <c r="J49" s="219">
        <v>79792</v>
      </c>
      <c r="K49" s="219">
        <v>67800</v>
      </c>
      <c r="L49" s="219">
        <v>134500</v>
      </c>
      <c r="M49" s="219">
        <f t="shared" si="1"/>
        <v>5095571</v>
      </c>
    </row>
    <row r="50" spans="2:13" s="145" customFormat="1" ht="18" customHeight="1" x14ac:dyDescent="0.25">
      <c r="B50" s="230">
        <v>38</v>
      </c>
      <c r="C50" s="254" t="s">
        <v>278</v>
      </c>
      <c r="D50" s="219">
        <v>2002000</v>
      </c>
      <c r="E50" s="219">
        <v>390000</v>
      </c>
      <c r="F50" s="219">
        <v>1903940</v>
      </c>
      <c r="G50" s="219">
        <v>291379</v>
      </c>
      <c r="H50" s="219">
        <v>189400</v>
      </c>
      <c r="I50" s="219">
        <v>36760</v>
      </c>
      <c r="J50" s="219">
        <v>79792</v>
      </c>
      <c r="K50" s="219">
        <v>135600</v>
      </c>
      <c r="L50" s="219">
        <v>269000</v>
      </c>
      <c r="M50" s="219">
        <f t="shared" si="1"/>
        <v>5297871</v>
      </c>
    </row>
    <row r="51" spans="2:13" s="145" customFormat="1" ht="18" customHeight="1" x14ac:dyDescent="0.25">
      <c r="B51" s="230">
        <v>39</v>
      </c>
      <c r="C51" s="256" t="s">
        <v>279</v>
      </c>
      <c r="D51" s="219">
        <v>572000</v>
      </c>
      <c r="E51" s="219">
        <v>0</v>
      </c>
      <c r="F51" s="219">
        <v>0</v>
      </c>
      <c r="G51" s="219">
        <v>0</v>
      </c>
      <c r="H51" s="219">
        <v>94700</v>
      </c>
      <c r="I51" s="219">
        <v>13785</v>
      </c>
      <c r="J51" s="219">
        <v>29922</v>
      </c>
      <c r="K51" s="219">
        <v>40680</v>
      </c>
      <c r="L51" s="219">
        <v>80700</v>
      </c>
      <c r="M51" s="219">
        <f t="shared" si="1"/>
        <v>831787</v>
      </c>
    </row>
    <row r="52" spans="2:13" s="145" customFormat="1" ht="18" customHeight="1" x14ac:dyDescent="0.25">
      <c r="B52" s="230">
        <v>40</v>
      </c>
      <c r="C52" s="254" t="s">
        <v>280</v>
      </c>
      <c r="D52" s="219">
        <v>1716000</v>
      </c>
      <c r="E52" s="219">
        <v>0</v>
      </c>
      <c r="F52" s="219">
        <v>0</v>
      </c>
      <c r="G52" s="219">
        <v>291379</v>
      </c>
      <c r="H52" s="219">
        <v>189400</v>
      </c>
      <c r="I52" s="219">
        <v>45950</v>
      </c>
      <c r="J52" s="219">
        <v>99740</v>
      </c>
      <c r="K52" s="219">
        <v>67800</v>
      </c>
      <c r="L52" s="219">
        <v>134500</v>
      </c>
      <c r="M52" s="219">
        <f t="shared" si="1"/>
        <v>2544769</v>
      </c>
    </row>
    <row r="53" spans="2:13" s="145" customFormat="1" ht="18" customHeight="1" x14ac:dyDescent="0.25">
      <c r="B53" s="967" t="s">
        <v>297</v>
      </c>
      <c r="C53" s="967"/>
      <c r="D53" s="224">
        <f>SUM(D6:D52)</f>
        <v>39754000</v>
      </c>
      <c r="E53" s="224">
        <f t="shared" ref="E53:L53" si="2">SUM(E6:E52)</f>
        <v>12090000</v>
      </c>
      <c r="F53" s="224">
        <f t="shared" si="2"/>
        <v>49677816</v>
      </c>
      <c r="G53" s="224">
        <f t="shared" si="2"/>
        <v>10781023</v>
      </c>
      <c r="H53" s="224">
        <f t="shared" si="2"/>
        <v>6231260</v>
      </c>
      <c r="I53" s="224">
        <f t="shared" si="2"/>
        <v>1167130</v>
      </c>
      <c r="J53" s="224">
        <f t="shared" si="2"/>
        <v>2573292</v>
      </c>
      <c r="K53" s="224">
        <f t="shared" si="2"/>
        <v>2508600</v>
      </c>
      <c r="L53" s="224">
        <f t="shared" si="2"/>
        <v>4976500</v>
      </c>
      <c r="M53" s="224">
        <f t="shared" si="1"/>
        <v>129759621</v>
      </c>
    </row>
    <row r="54" spans="2:13" s="145" customFormat="1" ht="18" customHeight="1" x14ac:dyDescent="0.25">
      <c r="B54" s="1023"/>
      <c r="C54" s="1023"/>
      <c r="D54" s="269"/>
      <c r="E54" s="269"/>
      <c r="F54" s="269"/>
      <c r="G54" s="269"/>
      <c r="H54" s="269"/>
      <c r="I54" s="269"/>
      <c r="J54" s="1024" t="s">
        <v>282</v>
      </c>
      <c r="K54" s="1024"/>
      <c r="L54" s="1024"/>
      <c r="M54" s="224">
        <f>M53*0.16</f>
        <v>20761539.359999999</v>
      </c>
    </row>
    <row r="55" spans="2:13" s="145" customFormat="1" ht="18" customHeight="1" x14ac:dyDescent="0.25">
      <c r="B55" s="247"/>
      <c r="C55" s="257"/>
      <c r="D55" s="221"/>
      <c r="E55" s="221"/>
      <c r="F55" s="221"/>
      <c r="G55" s="221"/>
      <c r="H55" s="221"/>
      <c r="I55" s="221"/>
      <c r="J55" s="903" t="s">
        <v>298</v>
      </c>
      <c r="K55" s="903"/>
      <c r="L55" s="903"/>
      <c r="M55" s="224">
        <f>SUM(M53:M54)</f>
        <v>150521160.36000001</v>
      </c>
    </row>
    <row r="56" spans="2:13" s="145" customFormat="1" ht="18" customHeight="1" x14ac:dyDescent="0.25">
      <c r="B56" s="247"/>
      <c r="C56" s="257"/>
      <c r="D56" s="221"/>
      <c r="E56" s="221"/>
      <c r="F56" s="221"/>
      <c r="G56" s="221"/>
      <c r="H56" s="221"/>
      <c r="I56" s="221"/>
      <c r="J56" s="903" t="s">
        <v>585</v>
      </c>
      <c r="K56" s="903"/>
      <c r="L56" s="903"/>
      <c r="M56" s="224">
        <f>+M55+'61.62INSUMOS MANTTO ELECTRICO'!K51</f>
        <v>205751078.04000002</v>
      </c>
    </row>
    <row r="57" spans="2:13" s="145" customFormat="1" ht="18" customHeight="1" x14ac:dyDescent="0.25">
      <c r="B57" s="247"/>
      <c r="C57" s="257"/>
      <c r="D57" s="221"/>
      <c r="E57" s="221"/>
      <c r="F57" s="221"/>
      <c r="G57" s="221"/>
      <c r="H57" s="221"/>
      <c r="I57" s="221"/>
      <c r="J57" s="1020" t="s">
        <v>666</v>
      </c>
      <c r="K57" s="1021"/>
      <c r="L57" s="1022"/>
      <c r="M57" s="224">
        <f>M56*0.3</f>
        <v>61725323.412</v>
      </c>
    </row>
  </sheetData>
  <mergeCells count="8">
    <mergeCell ref="J56:L56"/>
    <mergeCell ref="J57:L57"/>
    <mergeCell ref="B2:M2"/>
    <mergeCell ref="B4:M4"/>
    <mergeCell ref="B53:C53"/>
    <mergeCell ref="B54:C54"/>
    <mergeCell ref="J54:L54"/>
    <mergeCell ref="J55:L55"/>
  </mergeCells>
  <pageMargins left="1.38" right="0.7" top="0.55000000000000004" bottom="0.75" header="0.3" footer="0.3"/>
  <pageSetup paperSize="5" scale="90" orientation="landscape" r:id="rId1"/>
  <headerFooter>
    <oddFooter xml:space="preserve">&amp;C
</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3:M54"/>
  <sheetViews>
    <sheetView view="pageLayout" zoomScale="80" zoomScaleNormal="100" zoomScalePageLayoutView="80" workbookViewId="0">
      <selection activeCell="M55" sqref="M55"/>
    </sheetView>
  </sheetViews>
  <sheetFormatPr baseColWidth="10" defaultRowHeight="12" x14ac:dyDescent="0.2"/>
  <cols>
    <col min="1" max="2" width="11.42578125" style="159"/>
    <col min="3" max="3" width="6.7109375" style="236" customWidth="1"/>
    <col min="4" max="4" width="22.42578125" style="159" customWidth="1"/>
    <col min="5" max="5" width="13.85546875" style="159" customWidth="1"/>
    <col min="6" max="6" width="12.5703125" style="159" customWidth="1"/>
    <col min="7" max="7" width="11.28515625" style="159" customWidth="1"/>
    <col min="8" max="10" width="11.5703125" style="159" bestFit="1" customWidth="1"/>
    <col min="11" max="11" width="13.28515625" style="159" customWidth="1"/>
    <col min="12" max="12" width="11.5703125" style="159" bestFit="1" customWidth="1"/>
    <col min="13" max="13" width="14" style="159" customWidth="1"/>
    <col min="14" max="16384" width="11.42578125" style="159"/>
  </cols>
  <sheetData>
    <row r="3" spans="3:13" ht="23.25" customHeight="1" x14ac:dyDescent="0.2">
      <c r="C3" s="944" t="s">
        <v>1891</v>
      </c>
      <c r="D3" s="944"/>
      <c r="E3" s="944"/>
      <c r="F3" s="944"/>
      <c r="G3" s="944"/>
      <c r="H3" s="944"/>
      <c r="I3" s="944"/>
      <c r="J3" s="944"/>
      <c r="K3" s="944"/>
      <c r="L3" s="944"/>
      <c r="M3" s="944"/>
    </row>
    <row r="4" spans="3:13" s="229" customFormat="1" ht="100.5" customHeight="1" x14ac:dyDescent="0.25">
      <c r="C4" s="741" t="s">
        <v>346</v>
      </c>
      <c r="D4" s="741" t="s">
        <v>287</v>
      </c>
      <c r="E4" s="741" t="s">
        <v>587</v>
      </c>
      <c r="F4" s="741" t="s">
        <v>1688</v>
      </c>
      <c r="G4" s="741" t="s">
        <v>1689</v>
      </c>
      <c r="H4" s="741" t="s">
        <v>1690</v>
      </c>
      <c r="I4" s="741" t="s">
        <v>1691</v>
      </c>
      <c r="J4" s="741" t="s">
        <v>1692</v>
      </c>
      <c r="K4" s="741" t="s">
        <v>1693</v>
      </c>
      <c r="L4" s="741" t="s">
        <v>1694</v>
      </c>
      <c r="M4" s="741" t="s">
        <v>1460</v>
      </c>
    </row>
    <row r="5" spans="3:13" ht="22.5" customHeight="1" x14ac:dyDescent="0.2">
      <c r="C5" s="230">
        <v>1</v>
      </c>
      <c r="D5" s="254" t="s">
        <v>241</v>
      </c>
      <c r="E5" s="219">
        <v>2504627.4644999998</v>
      </c>
      <c r="F5" s="219">
        <v>245351.25300000003</v>
      </c>
      <c r="G5" s="219">
        <v>178901.73</v>
      </c>
      <c r="H5" s="219">
        <v>0</v>
      </c>
      <c r="I5" s="219">
        <v>0</v>
      </c>
      <c r="J5" s="219">
        <v>173790.56100000002</v>
      </c>
      <c r="K5" s="219">
        <v>490702.50600000005</v>
      </c>
      <c r="L5" s="219">
        <v>0</v>
      </c>
      <c r="M5" s="219">
        <f>SUM(E5:L5)</f>
        <v>3593373.5145</v>
      </c>
    </row>
    <row r="6" spans="3:13" ht="22.5" customHeight="1" x14ac:dyDescent="0.2">
      <c r="C6" s="230">
        <v>2</v>
      </c>
      <c r="D6" s="254" t="s">
        <v>242</v>
      </c>
      <c r="E6" s="219">
        <v>10171852.498500001</v>
      </c>
      <c r="F6" s="219">
        <v>245351.25300000003</v>
      </c>
      <c r="G6" s="219">
        <v>178901.73</v>
      </c>
      <c r="H6" s="219">
        <v>0</v>
      </c>
      <c r="I6" s="219">
        <v>0</v>
      </c>
      <c r="J6" s="219">
        <v>173790.56100000002</v>
      </c>
      <c r="K6" s="219">
        <v>490702.50600000005</v>
      </c>
      <c r="L6" s="219">
        <v>0</v>
      </c>
      <c r="M6" s="219">
        <f>SUM(E6:L6)</f>
        <v>11260598.548500001</v>
      </c>
    </row>
    <row r="7" spans="3:13" ht="22.5" customHeight="1" x14ac:dyDescent="0.2">
      <c r="C7" s="230">
        <v>3</v>
      </c>
      <c r="D7" s="254" t="s">
        <v>243</v>
      </c>
      <c r="E7" s="219">
        <v>10171852.498500001</v>
      </c>
      <c r="F7" s="219">
        <v>245351.25300000003</v>
      </c>
      <c r="G7" s="219">
        <v>178901.73</v>
      </c>
      <c r="H7" s="219">
        <v>0</v>
      </c>
      <c r="I7" s="219">
        <v>0</v>
      </c>
      <c r="J7" s="219">
        <v>173790.56100000002</v>
      </c>
      <c r="K7" s="219">
        <v>490702.50600000005</v>
      </c>
      <c r="L7" s="219">
        <v>0</v>
      </c>
      <c r="M7" s="219">
        <f>SUM(E7:L7)</f>
        <v>11260598.548500001</v>
      </c>
    </row>
    <row r="8" spans="3:13" ht="22.5" customHeight="1" x14ac:dyDescent="0.2">
      <c r="C8" s="230">
        <v>4</v>
      </c>
      <c r="D8" s="254" t="s">
        <v>244</v>
      </c>
      <c r="E8" s="219">
        <v>3833612.5170000005</v>
      </c>
      <c r="F8" s="219">
        <v>245351.25300000003</v>
      </c>
      <c r="G8" s="219">
        <v>178901.73</v>
      </c>
      <c r="H8" s="219">
        <v>0</v>
      </c>
      <c r="I8" s="219">
        <v>0</v>
      </c>
      <c r="J8" s="219">
        <v>173790.56100000002</v>
      </c>
      <c r="K8" s="219">
        <v>490702.50600000005</v>
      </c>
      <c r="L8" s="219">
        <v>0</v>
      </c>
      <c r="M8" s="219">
        <f t="shared" ref="M8:M50" si="0">SUM(E8:L8)</f>
        <v>4922358.5670000007</v>
      </c>
    </row>
    <row r="9" spans="3:13" ht="22.5" customHeight="1" x14ac:dyDescent="0.2">
      <c r="C9" s="230">
        <v>5</v>
      </c>
      <c r="D9" s="254" t="s">
        <v>245</v>
      </c>
      <c r="E9" s="219">
        <v>3833612.5170000005</v>
      </c>
      <c r="F9" s="219">
        <v>245351.25300000003</v>
      </c>
      <c r="G9" s="219">
        <v>178901.73</v>
      </c>
      <c r="H9" s="219">
        <v>0</v>
      </c>
      <c r="I9" s="219">
        <v>0</v>
      </c>
      <c r="J9" s="219">
        <v>173790.56100000002</v>
      </c>
      <c r="K9" s="219">
        <v>490702.50600000005</v>
      </c>
      <c r="L9" s="219">
        <v>0</v>
      </c>
      <c r="M9" s="219">
        <f t="shared" si="0"/>
        <v>4922358.5670000007</v>
      </c>
    </row>
    <row r="10" spans="3:13" ht="22.5" customHeight="1" x14ac:dyDescent="0.2">
      <c r="C10" s="230">
        <v>6</v>
      </c>
      <c r="D10" s="254" t="s">
        <v>246</v>
      </c>
      <c r="E10" s="219">
        <v>3833612.5170000005</v>
      </c>
      <c r="F10" s="219">
        <v>245351.25300000003</v>
      </c>
      <c r="G10" s="219">
        <v>178901.73</v>
      </c>
      <c r="H10" s="219">
        <v>0</v>
      </c>
      <c r="I10" s="219">
        <v>0</v>
      </c>
      <c r="J10" s="219">
        <v>173790.56100000002</v>
      </c>
      <c r="K10" s="219">
        <v>490702.50600000005</v>
      </c>
      <c r="L10" s="219">
        <v>0</v>
      </c>
      <c r="M10" s="219">
        <f t="shared" si="0"/>
        <v>4922358.5670000007</v>
      </c>
    </row>
    <row r="11" spans="3:13" ht="22.5" customHeight="1" x14ac:dyDescent="0.2">
      <c r="C11" s="230">
        <v>7</v>
      </c>
      <c r="D11" s="254" t="s">
        <v>526</v>
      </c>
      <c r="E11" s="219">
        <v>3833612.5170000005</v>
      </c>
      <c r="F11" s="219">
        <v>245351.25300000003</v>
      </c>
      <c r="G11" s="219">
        <v>178901.73</v>
      </c>
      <c r="H11" s="219">
        <v>0</v>
      </c>
      <c r="I11" s="219">
        <v>0</v>
      </c>
      <c r="J11" s="219">
        <v>173790.56100000002</v>
      </c>
      <c r="K11" s="219">
        <v>490702.50600000005</v>
      </c>
      <c r="L11" s="219">
        <v>0</v>
      </c>
      <c r="M11" s="219">
        <f t="shared" si="0"/>
        <v>4922358.5670000007</v>
      </c>
    </row>
    <row r="12" spans="3:13" ht="22.5" customHeight="1" x14ac:dyDescent="0.2">
      <c r="C12" s="230">
        <v>8</v>
      </c>
      <c r="D12" s="254" t="s">
        <v>248</v>
      </c>
      <c r="E12" s="219">
        <v>3833612.5170000005</v>
      </c>
      <c r="F12" s="219">
        <v>245351.25300000003</v>
      </c>
      <c r="G12" s="219">
        <v>178901.73</v>
      </c>
      <c r="H12" s="219">
        <v>0</v>
      </c>
      <c r="I12" s="219">
        <v>0</v>
      </c>
      <c r="J12" s="219">
        <v>173790.56100000002</v>
      </c>
      <c r="K12" s="219">
        <v>490702.50600000005</v>
      </c>
      <c r="L12" s="219">
        <v>0</v>
      </c>
      <c r="M12" s="219">
        <f t="shared" si="0"/>
        <v>4922358.5670000007</v>
      </c>
    </row>
    <row r="13" spans="3:13" ht="22.5" customHeight="1" x14ac:dyDescent="0.2">
      <c r="C13" s="230">
        <v>9</v>
      </c>
      <c r="D13" s="258" t="s">
        <v>249</v>
      </c>
      <c r="E13" s="219">
        <v>0</v>
      </c>
      <c r="F13" s="219">
        <v>245351.25300000003</v>
      </c>
      <c r="G13" s="219">
        <v>178901.73</v>
      </c>
      <c r="H13" s="219">
        <v>0</v>
      </c>
      <c r="I13" s="219">
        <v>0</v>
      </c>
      <c r="J13" s="219">
        <v>173790.56100000002</v>
      </c>
      <c r="K13" s="219">
        <v>490702.50600000005</v>
      </c>
      <c r="L13" s="219">
        <v>0</v>
      </c>
      <c r="M13" s="219">
        <f t="shared" si="0"/>
        <v>1088746.05</v>
      </c>
    </row>
    <row r="14" spans="3:13" ht="22.5" customHeight="1" x14ac:dyDescent="0.2">
      <c r="C14" s="230">
        <v>10</v>
      </c>
      <c r="D14" s="254" t="s">
        <v>250</v>
      </c>
      <c r="E14" s="219">
        <v>7667225.0340000009</v>
      </c>
      <c r="F14" s="219">
        <v>245351.25300000003</v>
      </c>
      <c r="G14" s="219">
        <v>178901.73</v>
      </c>
      <c r="H14" s="219">
        <v>0</v>
      </c>
      <c r="I14" s="219">
        <v>0</v>
      </c>
      <c r="J14" s="219">
        <v>173790.56100000002</v>
      </c>
      <c r="K14" s="219">
        <v>490702.50600000005</v>
      </c>
      <c r="L14" s="219">
        <v>0</v>
      </c>
      <c r="M14" s="219">
        <f t="shared" si="0"/>
        <v>8755971.0840000007</v>
      </c>
    </row>
    <row r="15" spans="3:13" ht="22.5" customHeight="1" x14ac:dyDescent="0.2">
      <c r="C15" s="230">
        <v>11</v>
      </c>
      <c r="D15" s="254" t="s">
        <v>251</v>
      </c>
      <c r="E15" s="219">
        <v>7667225.0340000009</v>
      </c>
      <c r="F15" s="219">
        <v>245351.25300000003</v>
      </c>
      <c r="G15" s="219">
        <v>178901.73</v>
      </c>
      <c r="H15" s="219">
        <v>0</v>
      </c>
      <c r="I15" s="219">
        <v>0</v>
      </c>
      <c r="J15" s="219">
        <v>173790.56100000002</v>
      </c>
      <c r="K15" s="219">
        <v>490702.50600000005</v>
      </c>
      <c r="L15" s="219">
        <v>0</v>
      </c>
      <c r="M15" s="219">
        <f t="shared" si="0"/>
        <v>8755971.0840000007</v>
      </c>
    </row>
    <row r="16" spans="3:13" ht="22.5" customHeight="1" x14ac:dyDescent="0.2">
      <c r="C16" s="230">
        <v>12</v>
      </c>
      <c r="D16" s="254" t="s">
        <v>252</v>
      </c>
      <c r="E16" s="219">
        <v>2504627.4644999998</v>
      </c>
      <c r="F16" s="219">
        <v>245351.25300000003</v>
      </c>
      <c r="G16" s="219">
        <v>178901.73</v>
      </c>
      <c r="H16" s="219">
        <v>0</v>
      </c>
      <c r="I16" s="219">
        <v>0</v>
      </c>
      <c r="J16" s="219">
        <v>173790.56100000002</v>
      </c>
      <c r="K16" s="219">
        <v>490702.50600000005</v>
      </c>
      <c r="L16" s="219">
        <v>0</v>
      </c>
      <c r="M16" s="219">
        <f t="shared" si="0"/>
        <v>3593373.5145</v>
      </c>
    </row>
    <row r="17" spans="3:13" ht="22.5" customHeight="1" x14ac:dyDescent="0.2">
      <c r="C17" s="230">
        <v>13</v>
      </c>
      <c r="D17" s="254" t="s">
        <v>253</v>
      </c>
      <c r="E17" s="219">
        <v>2504627.4644999998</v>
      </c>
      <c r="F17" s="219">
        <v>245351.25300000003</v>
      </c>
      <c r="G17" s="219">
        <v>178901.73</v>
      </c>
      <c r="H17" s="219">
        <v>0</v>
      </c>
      <c r="I17" s="219">
        <v>0</v>
      </c>
      <c r="J17" s="219">
        <v>173790.56100000002</v>
      </c>
      <c r="K17" s="219">
        <v>490702.50600000005</v>
      </c>
      <c r="L17" s="219">
        <v>0</v>
      </c>
      <c r="M17" s="219">
        <f t="shared" si="0"/>
        <v>3593373.5145</v>
      </c>
    </row>
    <row r="18" spans="3:13" ht="22.5" customHeight="1" x14ac:dyDescent="0.2">
      <c r="C18" s="230">
        <v>14</v>
      </c>
      <c r="D18" s="258" t="s">
        <v>254</v>
      </c>
      <c r="E18" s="219">
        <v>7667225.0340000009</v>
      </c>
      <c r="F18" s="219">
        <v>245351.25300000003</v>
      </c>
      <c r="G18" s="219">
        <v>178901.73</v>
      </c>
      <c r="H18" s="219">
        <v>0</v>
      </c>
      <c r="I18" s="219">
        <v>0</v>
      </c>
      <c r="J18" s="219">
        <v>173790.56100000002</v>
      </c>
      <c r="K18" s="219">
        <v>490702.50600000005</v>
      </c>
      <c r="L18" s="219">
        <v>0</v>
      </c>
      <c r="M18" s="219">
        <f t="shared" si="0"/>
        <v>8755971.0840000007</v>
      </c>
    </row>
    <row r="19" spans="3:13" ht="22.5" customHeight="1" x14ac:dyDescent="0.2">
      <c r="C19" s="230">
        <v>15</v>
      </c>
      <c r="D19" s="254" t="s">
        <v>255</v>
      </c>
      <c r="E19" s="219">
        <v>7667225.0340000009</v>
      </c>
      <c r="F19" s="219">
        <v>245351.25300000003</v>
      </c>
      <c r="G19" s="219">
        <v>178901.73</v>
      </c>
      <c r="H19" s="219">
        <v>0</v>
      </c>
      <c r="I19" s="219">
        <v>0</v>
      </c>
      <c r="J19" s="219">
        <v>173790.56100000002</v>
      </c>
      <c r="K19" s="219">
        <v>490702.50600000005</v>
      </c>
      <c r="L19" s="219">
        <v>0</v>
      </c>
      <c r="M19" s="219">
        <f t="shared" si="0"/>
        <v>8755971.0840000007</v>
      </c>
    </row>
    <row r="20" spans="3:13" ht="22.5" customHeight="1" x14ac:dyDescent="0.2">
      <c r="C20" s="230">
        <v>16</v>
      </c>
      <c r="D20" s="254" t="s">
        <v>256</v>
      </c>
      <c r="E20" s="219">
        <v>0</v>
      </c>
      <c r="F20" s="219">
        <v>245351.25300000003</v>
      </c>
      <c r="G20" s="219">
        <v>178901.73</v>
      </c>
      <c r="H20" s="219">
        <v>0</v>
      </c>
      <c r="I20" s="219">
        <v>0</v>
      </c>
      <c r="J20" s="219">
        <v>173790.56100000002</v>
      </c>
      <c r="K20" s="219">
        <v>490702.50600000005</v>
      </c>
      <c r="L20" s="219">
        <v>0</v>
      </c>
      <c r="M20" s="219">
        <f t="shared" si="0"/>
        <v>1088746.05</v>
      </c>
    </row>
    <row r="21" spans="3:13" ht="22.5" customHeight="1" x14ac:dyDescent="0.2">
      <c r="C21" s="230">
        <v>17</v>
      </c>
      <c r="D21" s="254" t="s">
        <v>257</v>
      </c>
      <c r="E21" s="219">
        <v>2504627.4644999998</v>
      </c>
      <c r="F21" s="219">
        <v>245351.25300000003</v>
      </c>
      <c r="G21" s="219">
        <v>178901.73</v>
      </c>
      <c r="H21" s="219">
        <v>0</v>
      </c>
      <c r="I21" s="219">
        <v>0</v>
      </c>
      <c r="J21" s="219">
        <v>173790.56100000002</v>
      </c>
      <c r="K21" s="219">
        <v>490702.50600000005</v>
      </c>
      <c r="L21" s="219">
        <v>0</v>
      </c>
      <c r="M21" s="219">
        <f t="shared" si="0"/>
        <v>3593373.5145</v>
      </c>
    </row>
    <row r="22" spans="3:13" ht="22.5" customHeight="1" x14ac:dyDescent="0.2">
      <c r="C22" s="230">
        <v>18</v>
      </c>
      <c r="D22" s="254" t="s">
        <v>258</v>
      </c>
      <c r="E22" s="219">
        <v>3833612.5170000005</v>
      </c>
      <c r="F22" s="219">
        <v>245351.25300000003</v>
      </c>
      <c r="G22" s="219">
        <v>178901.73</v>
      </c>
      <c r="H22" s="219">
        <v>0</v>
      </c>
      <c r="I22" s="219">
        <v>0</v>
      </c>
      <c r="J22" s="219">
        <v>173790.56100000002</v>
      </c>
      <c r="K22" s="219">
        <v>490702.50600000005</v>
      </c>
      <c r="L22" s="219">
        <v>0</v>
      </c>
      <c r="M22" s="219">
        <f t="shared" si="0"/>
        <v>4922358.5670000007</v>
      </c>
    </row>
    <row r="23" spans="3:13" ht="22.5" customHeight="1" x14ac:dyDescent="0.2">
      <c r="C23" s="282"/>
      <c r="D23" s="631"/>
      <c r="E23" s="633"/>
      <c r="F23" s="633"/>
      <c r="G23" s="633"/>
      <c r="H23" s="633"/>
      <c r="I23" s="633"/>
      <c r="J23" s="633"/>
      <c r="K23" s="633"/>
      <c r="L23" s="633"/>
      <c r="M23" s="633"/>
    </row>
    <row r="24" spans="3:13" ht="22.5" customHeight="1" x14ac:dyDescent="0.2">
      <c r="C24" s="743"/>
      <c r="D24" s="634"/>
      <c r="E24" s="636"/>
      <c r="F24" s="636"/>
      <c r="G24" s="636"/>
      <c r="H24" s="636"/>
      <c r="I24" s="636"/>
      <c r="J24" s="636"/>
      <c r="K24" s="636"/>
      <c r="L24" s="636"/>
      <c r="M24" s="636"/>
    </row>
    <row r="25" spans="3:13" ht="22.5" customHeight="1" x14ac:dyDescent="0.2">
      <c r="C25" s="743"/>
      <c r="D25" s="634"/>
      <c r="E25" s="636"/>
      <c r="F25" s="636"/>
      <c r="G25" s="636"/>
      <c r="H25" s="636"/>
      <c r="I25" s="636"/>
      <c r="J25" s="636"/>
      <c r="K25" s="636"/>
      <c r="L25" s="636"/>
      <c r="M25" s="636"/>
    </row>
    <row r="26" spans="3:13" ht="22.5" customHeight="1" x14ac:dyDescent="0.2">
      <c r="C26" s="743"/>
      <c r="D26" s="634"/>
      <c r="E26" s="636"/>
      <c r="F26" s="636"/>
      <c r="G26" s="636"/>
      <c r="H26" s="636"/>
      <c r="I26" s="636"/>
      <c r="J26" s="636"/>
      <c r="K26" s="636"/>
      <c r="L26" s="636"/>
      <c r="M26" s="636"/>
    </row>
    <row r="27" spans="3:13" ht="22.5" customHeight="1" x14ac:dyDescent="0.2">
      <c r="C27" s="743"/>
      <c r="D27" s="634"/>
      <c r="E27" s="636"/>
      <c r="F27" s="636"/>
      <c r="G27" s="636"/>
      <c r="H27" s="636"/>
      <c r="I27" s="636"/>
      <c r="J27" s="636"/>
      <c r="K27" s="636"/>
      <c r="L27" s="636"/>
      <c r="M27" s="636"/>
    </row>
    <row r="28" spans="3:13" ht="22.5" customHeight="1" x14ac:dyDescent="0.2">
      <c r="C28" s="743"/>
      <c r="D28" s="634"/>
      <c r="E28" s="636"/>
      <c r="F28" s="636"/>
      <c r="G28" s="636"/>
      <c r="H28" s="636"/>
      <c r="I28" s="636"/>
      <c r="J28" s="636"/>
      <c r="K28" s="636"/>
      <c r="L28" s="636"/>
      <c r="M28" s="636"/>
    </row>
    <row r="29" spans="3:13" ht="22.5" customHeight="1" x14ac:dyDescent="0.2">
      <c r="C29" s="230">
        <v>19</v>
      </c>
      <c r="D29" s="254" t="s">
        <v>259</v>
      </c>
      <c r="E29" s="219">
        <v>7667225.0340000009</v>
      </c>
      <c r="F29" s="219">
        <v>245351.25300000003</v>
      </c>
      <c r="G29" s="219">
        <v>178901.73</v>
      </c>
      <c r="H29" s="219">
        <v>0</v>
      </c>
      <c r="I29" s="219">
        <v>0</v>
      </c>
      <c r="J29" s="219">
        <v>173790.56100000002</v>
      </c>
      <c r="K29" s="219">
        <v>490702.50600000005</v>
      </c>
      <c r="L29" s="219">
        <v>0</v>
      </c>
      <c r="M29" s="219">
        <f t="shared" si="0"/>
        <v>8755971.0840000007</v>
      </c>
    </row>
    <row r="30" spans="3:13" ht="22.5" customHeight="1" x14ac:dyDescent="0.2">
      <c r="C30" s="230">
        <v>20</v>
      </c>
      <c r="D30" s="254" t="s">
        <v>260</v>
      </c>
      <c r="E30" s="219">
        <v>2504627.4644999998</v>
      </c>
      <c r="F30" s="219">
        <v>245351.25300000003</v>
      </c>
      <c r="G30" s="219">
        <v>178901.73</v>
      </c>
      <c r="H30" s="219">
        <v>0</v>
      </c>
      <c r="I30" s="219">
        <v>0</v>
      </c>
      <c r="J30" s="219">
        <v>173790.56100000002</v>
      </c>
      <c r="K30" s="219">
        <v>490702.50600000005</v>
      </c>
      <c r="L30" s="219">
        <v>0</v>
      </c>
      <c r="M30" s="219">
        <f t="shared" si="0"/>
        <v>3593373.5145</v>
      </c>
    </row>
    <row r="31" spans="3:13" ht="22.5" customHeight="1" x14ac:dyDescent="0.2">
      <c r="C31" s="230">
        <v>21</v>
      </c>
      <c r="D31" s="254" t="s">
        <v>261</v>
      </c>
      <c r="E31" s="219">
        <v>2504627.4644999998</v>
      </c>
      <c r="F31" s="219">
        <v>245351.25300000003</v>
      </c>
      <c r="G31" s="219">
        <v>178901.73</v>
      </c>
      <c r="H31" s="219">
        <v>0</v>
      </c>
      <c r="I31" s="219">
        <v>0</v>
      </c>
      <c r="J31" s="219">
        <v>173790.56100000002</v>
      </c>
      <c r="K31" s="219">
        <v>490702.50600000005</v>
      </c>
      <c r="L31" s="219">
        <v>0</v>
      </c>
      <c r="M31" s="219">
        <f t="shared" si="0"/>
        <v>3593373.5145</v>
      </c>
    </row>
    <row r="32" spans="3:13" ht="22.5" customHeight="1" x14ac:dyDescent="0.2">
      <c r="C32" s="230">
        <v>22</v>
      </c>
      <c r="D32" s="254" t="s">
        <v>262</v>
      </c>
      <c r="E32" s="219">
        <v>7667225.0340000009</v>
      </c>
      <c r="F32" s="219">
        <v>245351.25300000003</v>
      </c>
      <c r="G32" s="219">
        <v>178901.73</v>
      </c>
      <c r="H32" s="219">
        <v>0</v>
      </c>
      <c r="I32" s="219">
        <v>0</v>
      </c>
      <c r="J32" s="219">
        <v>173790.56100000002</v>
      </c>
      <c r="K32" s="219">
        <v>490702.50600000005</v>
      </c>
      <c r="L32" s="219">
        <v>0</v>
      </c>
      <c r="M32" s="219">
        <f t="shared" si="0"/>
        <v>8755971.0840000007</v>
      </c>
    </row>
    <row r="33" spans="3:13" ht="22.5" customHeight="1" x14ac:dyDescent="0.2">
      <c r="C33" s="230">
        <v>23</v>
      </c>
      <c r="D33" s="254" t="s">
        <v>263</v>
      </c>
      <c r="E33" s="219">
        <v>2504627.4644999998</v>
      </c>
      <c r="F33" s="219">
        <v>245351.25300000003</v>
      </c>
      <c r="G33" s="219">
        <v>178901.73</v>
      </c>
      <c r="H33" s="219">
        <v>0</v>
      </c>
      <c r="I33" s="219">
        <v>0</v>
      </c>
      <c r="J33" s="219">
        <v>173790.56100000002</v>
      </c>
      <c r="K33" s="219">
        <v>490702.50600000005</v>
      </c>
      <c r="L33" s="219">
        <v>0</v>
      </c>
      <c r="M33" s="219">
        <f t="shared" si="0"/>
        <v>3593373.5145</v>
      </c>
    </row>
    <row r="34" spans="3:13" ht="22.5" customHeight="1" x14ac:dyDescent="0.2">
      <c r="C34" s="230">
        <v>24</v>
      </c>
      <c r="D34" s="254" t="s">
        <v>264</v>
      </c>
      <c r="E34" s="219">
        <v>2504627.4644999998</v>
      </c>
      <c r="F34" s="219">
        <v>245351.25300000003</v>
      </c>
      <c r="G34" s="219">
        <v>178901.73</v>
      </c>
      <c r="H34" s="219">
        <v>0</v>
      </c>
      <c r="I34" s="219">
        <v>0</v>
      </c>
      <c r="J34" s="219">
        <v>173790.56100000002</v>
      </c>
      <c r="K34" s="219">
        <v>490702.50600000005</v>
      </c>
      <c r="L34" s="219">
        <v>0</v>
      </c>
      <c r="M34" s="219">
        <f t="shared" si="0"/>
        <v>3593373.5145</v>
      </c>
    </row>
    <row r="35" spans="3:13" ht="22.5" customHeight="1" x14ac:dyDescent="0.2">
      <c r="C35" s="230">
        <v>25</v>
      </c>
      <c r="D35" s="254" t="s">
        <v>265</v>
      </c>
      <c r="E35" s="219">
        <v>3833612.5170000005</v>
      </c>
      <c r="F35" s="219">
        <v>981405.0120000001</v>
      </c>
      <c r="G35" s="219">
        <v>715608.00150000001</v>
      </c>
      <c r="H35" s="219">
        <v>351115.46399999998</v>
      </c>
      <c r="I35" s="219">
        <v>859875.77550000011</v>
      </c>
      <c r="J35" s="219">
        <v>664056.14100000006</v>
      </c>
      <c r="K35" s="219">
        <v>2473958.2875000001</v>
      </c>
      <c r="L35" s="219">
        <v>112452.20700000001</v>
      </c>
      <c r="M35" s="219">
        <f t="shared" si="0"/>
        <v>9992083.4055000022</v>
      </c>
    </row>
    <row r="36" spans="3:13" ht="22.5" customHeight="1" x14ac:dyDescent="0.2">
      <c r="C36" s="230">
        <v>26</v>
      </c>
      <c r="D36" s="254" t="s">
        <v>266</v>
      </c>
      <c r="E36" s="219">
        <v>2504627.4644999998</v>
      </c>
      <c r="F36" s="219">
        <v>245351.25300000003</v>
      </c>
      <c r="G36" s="219">
        <v>178901.73</v>
      </c>
      <c r="H36" s="219">
        <v>0</v>
      </c>
      <c r="I36" s="219">
        <v>0</v>
      </c>
      <c r="J36" s="219">
        <v>173790.56100000002</v>
      </c>
      <c r="K36" s="219">
        <v>490702.50600000005</v>
      </c>
      <c r="L36" s="219">
        <v>0</v>
      </c>
      <c r="M36" s="219">
        <f t="shared" si="0"/>
        <v>3593373.5145</v>
      </c>
    </row>
    <row r="37" spans="3:13" ht="22.5" customHeight="1" x14ac:dyDescent="0.2">
      <c r="C37" s="230">
        <v>27</v>
      </c>
      <c r="D37" s="254" t="s">
        <v>267</v>
      </c>
      <c r="E37" s="219">
        <v>3833612.5170000005</v>
      </c>
      <c r="F37" s="219">
        <v>245351.25300000003</v>
      </c>
      <c r="G37" s="219">
        <v>178901.73</v>
      </c>
      <c r="H37" s="219">
        <v>0</v>
      </c>
      <c r="I37" s="219">
        <v>0</v>
      </c>
      <c r="J37" s="219">
        <v>173790.56100000002</v>
      </c>
      <c r="K37" s="219">
        <v>490702.50600000005</v>
      </c>
      <c r="L37" s="219">
        <v>0</v>
      </c>
      <c r="M37" s="219">
        <f t="shared" si="0"/>
        <v>4922358.5670000007</v>
      </c>
    </row>
    <row r="38" spans="3:13" ht="22.5" customHeight="1" x14ac:dyDescent="0.2">
      <c r="C38" s="230">
        <v>28</v>
      </c>
      <c r="D38" s="254" t="s">
        <v>268</v>
      </c>
      <c r="E38" s="219">
        <v>2504627.4644999998</v>
      </c>
      <c r="F38" s="219">
        <v>245351.25300000003</v>
      </c>
      <c r="G38" s="219">
        <v>178901.73</v>
      </c>
      <c r="H38" s="219">
        <v>0</v>
      </c>
      <c r="I38" s="219">
        <v>0</v>
      </c>
      <c r="J38" s="219">
        <v>173790.56100000002</v>
      </c>
      <c r="K38" s="219">
        <v>490702.50600000005</v>
      </c>
      <c r="L38" s="219">
        <v>0</v>
      </c>
      <c r="M38" s="219">
        <f t="shared" si="0"/>
        <v>3593373.5145</v>
      </c>
    </row>
    <row r="39" spans="3:13" ht="22.5" customHeight="1" x14ac:dyDescent="0.2">
      <c r="C39" s="230">
        <v>29</v>
      </c>
      <c r="D39" s="254" t="s">
        <v>269</v>
      </c>
      <c r="E39" s="219">
        <v>2504627.4644999998</v>
      </c>
      <c r="F39" s="219">
        <v>245351.25300000003</v>
      </c>
      <c r="G39" s="219">
        <v>178901.73</v>
      </c>
      <c r="H39" s="219">
        <v>0</v>
      </c>
      <c r="I39" s="219">
        <v>0</v>
      </c>
      <c r="J39" s="219">
        <v>173790.56100000002</v>
      </c>
      <c r="K39" s="219">
        <v>490702.50600000005</v>
      </c>
      <c r="L39" s="219">
        <v>0</v>
      </c>
      <c r="M39" s="219">
        <f t="shared" si="0"/>
        <v>3593373.5145</v>
      </c>
    </row>
    <row r="40" spans="3:13" ht="22.5" customHeight="1" x14ac:dyDescent="0.2">
      <c r="C40" s="230">
        <v>30</v>
      </c>
      <c r="D40" s="254" t="s">
        <v>270</v>
      </c>
      <c r="E40" s="219">
        <v>3833612.5170000005</v>
      </c>
      <c r="F40" s="219">
        <v>245351.25300000003</v>
      </c>
      <c r="G40" s="219">
        <v>178901.73</v>
      </c>
      <c r="H40" s="219">
        <v>0</v>
      </c>
      <c r="I40" s="219">
        <v>0</v>
      </c>
      <c r="J40" s="219">
        <v>173790.56100000002</v>
      </c>
      <c r="K40" s="219">
        <v>490702.50600000005</v>
      </c>
      <c r="L40" s="219">
        <v>0</v>
      </c>
      <c r="M40" s="219">
        <f t="shared" si="0"/>
        <v>4922358.5670000007</v>
      </c>
    </row>
    <row r="41" spans="3:13" ht="22.5" customHeight="1" x14ac:dyDescent="0.2">
      <c r="C41" s="230">
        <v>31</v>
      </c>
      <c r="D41" s="254" t="s">
        <v>271</v>
      </c>
      <c r="E41" s="219">
        <v>10171852.498500001</v>
      </c>
      <c r="F41" s="219">
        <v>245351.25300000003</v>
      </c>
      <c r="G41" s="219">
        <v>178901.73</v>
      </c>
      <c r="H41" s="219">
        <v>0</v>
      </c>
      <c r="I41" s="219">
        <v>0</v>
      </c>
      <c r="J41" s="219">
        <v>173790.56100000002</v>
      </c>
      <c r="K41" s="219">
        <v>490702.50600000005</v>
      </c>
      <c r="L41" s="219">
        <v>0</v>
      </c>
      <c r="M41" s="219">
        <f t="shared" si="0"/>
        <v>11260598.548500001</v>
      </c>
    </row>
    <row r="42" spans="3:13" ht="22.5" customHeight="1" x14ac:dyDescent="0.2">
      <c r="C42" s="230">
        <v>32</v>
      </c>
      <c r="D42" s="254" t="s">
        <v>272</v>
      </c>
      <c r="E42" s="219">
        <v>2504627.4644999998</v>
      </c>
      <c r="F42" s="219">
        <v>245351.25300000003</v>
      </c>
      <c r="G42" s="219">
        <v>178901.73</v>
      </c>
      <c r="H42" s="219">
        <v>0</v>
      </c>
      <c r="I42" s="219">
        <v>0</v>
      </c>
      <c r="J42" s="219">
        <v>173790.56100000002</v>
      </c>
      <c r="K42" s="219">
        <v>490702.50600000005</v>
      </c>
      <c r="L42" s="219">
        <v>0</v>
      </c>
      <c r="M42" s="219">
        <f t="shared" si="0"/>
        <v>3593373.5145</v>
      </c>
    </row>
    <row r="43" spans="3:13" ht="22.5" customHeight="1" x14ac:dyDescent="0.2">
      <c r="C43" s="230">
        <v>33</v>
      </c>
      <c r="D43" s="254" t="s">
        <v>273</v>
      </c>
      <c r="E43" s="219">
        <v>3833612.5170000005</v>
      </c>
      <c r="F43" s="219">
        <v>245351.25300000003</v>
      </c>
      <c r="G43" s="219">
        <v>178901.73</v>
      </c>
      <c r="H43" s="219">
        <v>0</v>
      </c>
      <c r="I43" s="219">
        <v>0</v>
      </c>
      <c r="J43" s="219">
        <v>173790.56100000002</v>
      </c>
      <c r="K43" s="219">
        <v>490702.50600000005</v>
      </c>
      <c r="L43" s="219">
        <v>0</v>
      </c>
      <c r="M43" s="219">
        <f t="shared" si="0"/>
        <v>4922358.5670000007</v>
      </c>
    </row>
    <row r="44" spans="3:13" ht="22.5" customHeight="1" x14ac:dyDescent="0.2">
      <c r="C44" s="230">
        <v>34</v>
      </c>
      <c r="D44" s="254" t="s">
        <v>274</v>
      </c>
      <c r="E44" s="219">
        <v>3833612.5170000005</v>
      </c>
      <c r="F44" s="219">
        <v>245351.25300000003</v>
      </c>
      <c r="G44" s="219">
        <v>178901.73</v>
      </c>
      <c r="H44" s="219">
        <v>0</v>
      </c>
      <c r="I44" s="219">
        <v>0</v>
      </c>
      <c r="J44" s="219">
        <v>173790.56100000002</v>
      </c>
      <c r="K44" s="219">
        <v>490702.50600000005</v>
      </c>
      <c r="L44" s="219">
        <v>0</v>
      </c>
      <c r="M44" s="219">
        <f t="shared" si="0"/>
        <v>4922358.5670000007</v>
      </c>
    </row>
    <row r="45" spans="3:13" ht="22.5" customHeight="1" x14ac:dyDescent="0.2">
      <c r="C45" s="230">
        <v>35</v>
      </c>
      <c r="D45" s="254" t="s">
        <v>275</v>
      </c>
      <c r="E45" s="219">
        <v>2504627.4644999998</v>
      </c>
      <c r="F45" s="219">
        <v>245351.25300000003</v>
      </c>
      <c r="G45" s="219">
        <v>178901.73</v>
      </c>
      <c r="H45" s="219">
        <v>0</v>
      </c>
      <c r="I45" s="219">
        <v>0</v>
      </c>
      <c r="J45" s="219">
        <v>173790.56100000002</v>
      </c>
      <c r="K45" s="219">
        <v>490702.50600000005</v>
      </c>
      <c r="L45" s="219">
        <v>0</v>
      </c>
      <c r="M45" s="219">
        <f t="shared" si="0"/>
        <v>3593373.5145</v>
      </c>
    </row>
    <row r="46" spans="3:13" ht="22.5" customHeight="1" x14ac:dyDescent="0.2">
      <c r="C46" s="230">
        <v>36</v>
      </c>
      <c r="D46" s="254" t="s">
        <v>296</v>
      </c>
      <c r="E46" s="219">
        <v>11500838.6325</v>
      </c>
      <c r="F46" s="219">
        <v>981405.0120000001</v>
      </c>
      <c r="G46" s="219">
        <v>715608.00150000001</v>
      </c>
      <c r="H46" s="219">
        <v>351115.46399999998</v>
      </c>
      <c r="I46" s="219">
        <v>1719751.5510000002</v>
      </c>
      <c r="J46" s="219">
        <v>664056.14100000006</v>
      </c>
      <c r="K46" s="219">
        <v>2473958.2875000001</v>
      </c>
      <c r="L46" s="219">
        <v>112452.20700000001</v>
      </c>
      <c r="M46" s="219">
        <f t="shared" si="0"/>
        <v>18519185.296500001</v>
      </c>
    </row>
    <row r="47" spans="3:13" ht="22.5" customHeight="1" x14ac:dyDescent="0.2">
      <c r="C47" s="230">
        <v>37</v>
      </c>
      <c r="D47" s="254" t="s">
        <v>277</v>
      </c>
      <c r="E47" s="219">
        <v>11500838.6325</v>
      </c>
      <c r="F47" s="219">
        <v>981405.0120000001</v>
      </c>
      <c r="G47" s="219">
        <v>715608.00150000001</v>
      </c>
      <c r="H47" s="219">
        <v>351115.46399999998</v>
      </c>
      <c r="I47" s="219">
        <v>859875.77550000011</v>
      </c>
      <c r="J47" s="219">
        <v>664056.14100000006</v>
      </c>
      <c r="K47" s="219">
        <v>2473958.2875000001</v>
      </c>
      <c r="L47" s="219">
        <v>112452.20700000001</v>
      </c>
      <c r="M47" s="219">
        <f t="shared" si="0"/>
        <v>17659309.520999998</v>
      </c>
    </row>
    <row r="48" spans="3:13" ht="22.5" customHeight="1" x14ac:dyDescent="0.2">
      <c r="C48" s="230">
        <v>38</v>
      </c>
      <c r="D48" s="254" t="s">
        <v>278</v>
      </c>
      <c r="E48" s="219">
        <v>11500838.6325</v>
      </c>
      <c r="F48" s="219">
        <v>981405.0120000001</v>
      </c>
      <c r="G48" s="219">
        <v>715608.00150000001</v>
      </c>
      <c r="H48" s="219">
        <v>351115.46399999998</v>
      </c>
      <c r="I48" s="219">
        <v>1719751.5510000002</v>
      </c>
      <c r="J48" s="219">
        <v>664056.14100000006</v>
      </c>
      <c r="K48" s="219">
        <v>2473958.2875000001</v>
      </c>
      <c r="L48" s="219">
        <v>112452.20700000001</v>
      </c>
      <c r="M48" s="219">
        <f t="shared" si="0"/>
        <v>18519185.296500001</v>
      </c>
    </row>
    <row r="49" spans="3:13" ht="22.5" customHeight="1" x14ac:dyDescent="0.2">
      <c r="C49" s="230">
        <v>39</v>
      </c>
      <c r="D49" s="258" t="s">
        <v>279</v>
      </c>
      <c r="E49" s="219">
        <v>2504627.4644999998</v>
      </c>
      <c r="F49" s="219">
        <v>245351.25300000003</v>
      </c>
      <c r="G49" s="219">
        <v>178901.73</v>
      </c>
      <c r="H49" s="219">
        <v>0</v>
      </c>
      <c r="I49" s="219">
        <v>0</v>
      </c>
      <c r="J49" s="219">
        <v>173790.56100000002</v>
      </c>
      <c r="K49" s="219">
        <v>490702.50600000005</v>
      </c>
      <c r="L49" s="219">
        <v>0</v>
      </c>
      <c r="M49" s="219">
        <f t="shared" si="0"/>
        <v>3593373.5145</v>
      </c>
    </row>
    <row r="50" spans="3:13" ht="22.5" customHeight="1" x14ac:dyDescent="0.2">
      <c r="C50" s="230">
        <v>40</v>
      </c>
      <c r="D50" s="254" t="s">
        <v>280</v>
      </c>
      <c r="E50" s="219">
        <v>11500838.6325</v>
      </c>
      <c r="F50" s="219">
        <v>981405.0120000001</v>
      </c>
      <c r="G50" s="219">
        <v>715608.00150000001</v>
      </c>
      <c r="H50" s="219">
        <v>351115.46399999998</v>
      </c>
      <c r="I50" s="219">
        <v>859875.77550000011</v>
      </c>
      <c r="J50" s="219">
        <v>664056.14100000006</v>
      </c>
      <c r="K50" s="219">
        <v>2473958.2875000001</v>
      </c>
      <c r="L50" s="219">
        <v>112452.20700000001</v>
      </c>
      <c r="M50" s="219">
        <f t="shared" si="0"/>
        <v>17659309.520999998</v>
      </c>
    </row>
    <row r="51" spans="3:13" ht="22.5" customHeight="1" x14ac:dyDescent="0.2">
      <c r="C51" s="945" t="s">
        <v>297</v>
      </c>
      <c r="D51" s="947"/>
      <c r="E51" s="224">
        <f>SUM(E5:E50)</f>
        <v>199756784.41949993</v>
      </c>
      <c r="F51" s="224">
        <f t="shared" ref="F51:M51" si="1">SUM(F5:F50)</f>
        <v>13494318.915000008</v>
      </c>
      <c r="G51" s="224">
        <f t="shared" si="1"/>
        <v>9839600.5575000048</v>
      </c>
      <c r="H51" s="224">
        <f t="shared" si="1"/>
        <v>1755577.3199999998</v>
      </c>
      <c r="I51" s="224">
        <f t="shared" si="1"/>
        <v>6019130.4285000013</v>
      </c>
      <c r="J51" s="224">
        <f t="shared" si="1"/>
        <v>9402950.3400000017</v>
      </c>
      <c r="K51" s="224">
        <f t="shared" si="1"/>
        <v>29544379.14750002</v>
      </c>
      <c r="L51" s="224">
        <f t="shared" si="1"/>
        <v>562261.03500000003</v>
      </c>
      <c r="M51" s="224">
        <f t="shared" si="1"/>
        <v>270375002.16299999</v>
      </c>
    </row>
    <row r="52" spans="3:13" ht="22.5" customHeight="1" x14ac:dyDescent="0.2">
      <c r="C52" s="743"/>
      <c r="D52" s="259"/>
      <c r="E52" s="225"/>
      <c r="F52" s="225"/>
      <c r="G52" s="225"/>
      <c r="H52" s="225"/>
      <c r="I52" s="225"/>
      <c r="J52" s="225"/>
      <c r="K52" s="903" t="s">
        <v>588</v>
      </c>
      <c r="L52" s="903"/>
      <c r="M52" s="224">
        <f>M51*0.16</f>
        <v>43260000.346079998</v>
      </c>
    </row>
    <row r="53" spans="3:13" ht="22.5" customHeight="1" x14ac:dyDescent="0.2">
      <c r="C53" s="743"/>
      <c r="D53" s="259"/>
      <c r="E53" s="225"/>
      <c r="F53" s="225"/>
      <c r="G53" s="225"/>
      <c r="H53" s="225"/>
      <c r="I53" s="225"/>
      <c r="J53" s="225"/>
      <c r="K53" s="903" t="s">
        <v>161</v>
      </c>
      <c r="L53" s="903"/>
      <c r="M53" s="224">
        <f>SUM(M51:M52)</f>
        <v>313635002.50907999</v>
      </c>
    </row>
    <row r="54" spans="3:13" ht="22.5" customHeight="1" x14ac:dyDescent="0.2">
      <c r="C54" s="743"/>
      <c r="D54" s="259"/>
      <c r="E54" s="225"/>
      <c r="F54" s="225"/>
      <c r="G54" s="225"/>
      <c r="H54" s="225"/>
      <c r="I54" s="225"/>
      <c r="J54" s="225"/>
      <c r="K54" s="903" t="s">
        <v>666</v>
      </c>
      <c r="L54" s="903"/>
      <c r="M54" s="224">
        <f>M53*0.3</f>
        <v>94090500.752723992</v>
      </c>
    </row>
  </sheetData>
  <mergeCells count="5">
    <mergeCell ref="C3:M3"/>
    <mergeCell ref="C51:D51"/>
    <mergeCell ref="K52:L52"/>
    <mergeCell ref="K53:L53"/>
    <mergeCell ref="K54:L54"/>
  </mergeCells>
  <pageMargins left="0.7" right="0.7" top="0.75" bottom="0.75" header="0.3" footer="0.3"/>
  <pageSetup paperSize="5" scale="80" orientation="landscape" r:id="rId1"/>
  <headerFooter>
    <oddFooter xml:space="preserve">&amp;C
</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T50"/>
  <sheetViews>
    <sheetView view="pageLayout" topLeftCell="B46" zoomScale="80" zoomScaleNormal="90" zoomScalePageLayoutView="80" workbookViewId="0">
      <selection activeCell="T51" sqref="T51"/>
    </sheetView>
  </sheetViews>
  <sheetFormatPr baseColWidth="10" defaultRowHeight="15" x14ac:dyDescent="0.25"/>
  <cols>
    <col min="1" max="1" width="11.42578125" style="113"/>
    <col min="2" max="2" width="4" style="262" customWidth="1"/>
    <col min="3" max="3" width="20.5703125" style="113" customWidth="1"/>
    <col min="4" max="4" width="8.42578125" style="113" customWidth="1"/>
    <col min="5" max="5" width="10" style="113" customWidth="1"/>
    <col min="6" max="6" width="10.5703125" style="113" customWidth="1"/>
    <col min="7" max="7" width="11" style="113" customWidth="1"/>
    <col min="8" max="8" width="10.7109375" style="113" customWidth="1"/>
    <col min="9" max="9" width="9.42578125" style="113" customWidth="1"/>
    <col min="10" max="10" width="11.140625" style="113" customWidth="1"/>
    <col min="11" max="11" width="10.42578125" style="113" customWidth="1"/>
    <col min="12" max="12" width="9.5703125" style="113" customWidth="1"/>
    <col min="13" max="13" width="10.42578125" style="113" customWidth="1"/>
    <col min="14" max="14" width="10.85546875" style="113" customWidth="1"/>
    <col min="15" max="15" width="9.85546875" style="113" customWidth="1"/>
    <col min="16" max="16" width="10" style="113" customWidth="1"/>
    <col min="17" max="17" width="10.5703125" style="113" customWidth="1"/>
    <col min="18" max="18" width="10.140625" style="113" customWidth="1"/>
    <col min="19" max="19" width="10.28515625" style="113" customWidth="1"/>
    <col min="20" max="20" width="12.5703125" style="113" customWidth="1"/>
    <col min="21" max="16384" width="11.42578125" style="113"/>
  </cols>
  <sheetData>
    <row r="1" spans="2:20" ht="15.75" x14ac:dyDescent="0.25">
      <c r="B1" s="1028"/>
      <c r="C1" s="1028"/>
      <c r="D1" s="1028"/>
      <c r="E1" s="1028"/>
      <c r="F1" s="1028"/>
      <c r="G1" s="1028"/>
      <c r="H1" s="1028"/>
      <c r="I1" s="1028"/>
      <c r="J1" s="1028"/>
      <c r="K1" s="1028"/>
      <c r="L1" s="1028"/>
      <c r="M1" s="1028"/>
      <c r="N1" s="1028"/>
      <c r="O1" s="1028"/>
      <c r="P1" s="1028"/>
      <c r="Q1" s="1028"/>
      <c r="R1" s="1028"/>
      <c r="S1" s="1028"/>
      <c r="T1" s="1028"/>
    </row>
    <row r="2" spans="2:20" x14ac:dyDescent="0.25">
      <c r="B2" s="1029" t="s">
        <v>1416</v>
      </c>
      <c r="C2" s="1029"/>
      <c r="D2" s="1029"/>
      <c r="E2" s="1029"/>
      <c r="F2" s="1029"/>
      <c r="G2" s="1029"/>
      <c r="H2" s="1029"/>
      <c r="I2" s="1029"/>
      <c r="J2" s="1029"/>
      <c r="K2" s="1029"/>
      <c r="L2" s="1029"/>
      <c r="M2" s="1029"/>
      <c r="N2" s="1029"/>
      <c r="O2" s="1029"/>
      <c r="P2" s="1029"/>
      <c r="Q2" s="1029"/>
      <c r="R2" s="1029"/>
      <c r="S2" s="1029"/>
      <c r="T2" s="1029"/>
    </row>
    <row r="3" spans="2:20" s="272" customFormat="1" ht="123" customHeight="1" x14ac:dyDescent="0.25">
      <c r="B3" s="273" t="s">
        <v>346</v>
      </c>
      <c r="C3" s="273" t="s">
        <v>287</v>
      </c>
      <c r="D3" s="274" t="s">
        <v>589</v>
      </c>
      <c r="E3" s="274" t="s">
        <v>590</v>
      </c>
      <c r="F3" s="274" t="s">
        <v>591</v>
      </c>
      <c r="G3" s="274" t="s">
        <v>592</v>
      </c>
      <c r="H3" s="274" t="s">
        <v>593</v>
      </c>
      <c r="I3" s="274" t="s">
        <v>594</v>
      </c>
      <c r="J3" s="274" t="s">
        <v>595</v>
      </c>
      <c r="K3" s="274" t="s">
        <v>596</v>
      </c>
      <c r="L3" s="274" t="s">
        <v>597</v>
      </c>
      <c r="M3" s="274" t="s">
        <v>1695</v>
      </c>
      <c r="N3" s="274" t="s">
        <v>598</v>
      </c>
      <c r="O3" s="274" t="s">
        <v>599</v>
      </c>
      <c r="P3" s="274" t="s">
        <v>1696</v>
      </c>
      <c r="Q3" s="274" t="s">
        <v>493</v>
      </c>
      <c r="R3" s="274" t="s">
        <v>600</v>
      </c>
      <c r="S3" s="274" t="s">
        <v>601</v>
      </c>
      <c r="T3" s="274" t="s">
        <v>1460</v>
      </c>
    </row>
    <row r="4" spans="2:20" ht="18" customHeight="1" x14ac:dyDescent="0.25">
      <c r="B4" s="275">
        <v>1</v>
      </c>
      <c r="C4" s="276" t="s">
        <v>241</v>
      </c>
      <c r="D4" s="277">
        <v>0</v>
      </c>
      <c r="E4" s="277">
        <v>212090.802</v>
      </c>
      <c r="F4" s="277">
        <v>491562.29850000003</v>
      </c>
      <c r="G4" s="277">
        <v>297322.73550000007</v>
      </c>
      <c r="H4" s="277">
        <v>396430.31400000001</v>
      </c>
      <c r="I4" s="277">
        <v>50445.486000000004</v>
      </c>
      <c r="J4" s="277">
        <v>619422.63600000006</v>
      </c>
      <c r="K4" s="277">
        <v>198215.15700000001</v>
      </c>
      <c r="L4" s="277">
        <v>184966.78200000001</v>
      </c>
      <c r="M4" s="277">
        <v>0</v>
      </c>
      <c r="N4" s="277">
        <v>0</v>
      </c>
      <c r="O4" s="277">
        <v>0</v>
      </c>
      <c r="P4" s="277">
        <v>0</v>
      </c>
      <c r="Q4" s="277">
        <v>107953.16700000002</v>
      </c>
      <c r="R4" s="277">
        <v>0</v>
      </c>
      <c r="S4" s="277">
        <v>0</v>
      </c>
      <c r="T4" s="277">
        <f>SUM(D4:S4)</f>
        <v>2558409.3780000005</v>
      </c>
    </row>
    <row r="5" spans="2:20" ht="18" customHeight="1" x14ac:dyDescent="0.25">
      <c r="B5" s="275">
        <v>2</v>
      </c>
      <c r="C5" s="276" t="s">
        <v>242</v>
      </c>
      <c r="D5" s="277">
        <v>161929.75050000002</v>
      </c>
      <c r="E5" s="277">
        <v>212090.802</v>
      </c>
      <c r="F5" s="277">
        <v>491562.29850000003</v>
      </c>
      <c r="G5" s="277">
        <v>297322.73550000007</v>
      </c>
      <c r="H5" s="277">
        <v>396430.31400000001</v>
      </c>
      <c r="I5" s="277">
        <v>50445.486000000004</v>
      </c>
      <c r="J5" s="277">
        <v>619422.63600000006</v>
      </c>
      <c r="K5" s="277">
        <v>198215.15700000001</v>
      </c>
      <c r="L5" s="277">
        <v>184966.78200000001</v>
      </c>
      <c r="M5" s="277">
        <v>2477690.5440000002</v>
      </c>
      <c r="N5" s="277">
        <v>4203789.4185000006</v>
      </c>
      <c r="O5" s="277">
        <v>743307.37950000004</v>
      </c>
      <c r="P5" s="277">
        <v>1189292.0234999999</v>
      </c>
      <c r="Q5" s="277">
        <v>107953.16700000002</v>
      </c>
      <c r="R5" s="277">
        <v>0</v>
      </c>
      <c r="S5" s="277">
        <v>504454.86</v>
      </c>
      <c r="T5" s="277">
        <f t="shared" ref="T5:T47" si="0">SUM(D5:S5)</f>
        <v>11838873.354</v>
      </c>
    </row>
    <row r="6" spans="2:20" ht="18" customHeight="1" x14ac:dyDescent="0.25">
      <c r="B6" s="275">
        <v>3</v>
      </c>
      <c r="C6" s="276" t="s">
        <v>243</v>
      </c>
      <c r="D6" s="277">
        <v>0</v>
      </c>
      <c r="E6" s="277">
        <v>212090.802</v>
      </c>
      <c r="F6" s="277">
        <v>491562.29850000003</v>
      </c>
      <c r="G6" s="277">
        <v>297322.73550000007</v>
      </c>
      <c r="H6" s="277">
        <v>396430.31400000001</v>
      </c>
      <c r="I6" s="277">
        <v>50445.486000000004</v>
      </c>
      <c r="J6" s="277">
        <v>619422.63600000006</v>
      </c>
      <c r="K6" s="277">
        <v>198215.15700000001</v>
      </c>
      <c r="L6" s="277">
        <v>184966.78200000001</v>
      </c>
      <c r="M6" s="277">
        <v>0</v>
      </c>
      <c r="N6" s="277">
        <v>0</v>
      </c>
      <c r="O6" s="277">
        <v>0</v>
      </c>
      <c r="P6" s="277">
        <v>0</v>
      </c>
      <c r="Q6" s="277">
        <v>107953.16700000002</v>
      </c>
      <c r="R6" s="277">
        <v>0</v>
      </c>
      <c r="S6" s="277">
        <v>0</v>
      </c>
      <c r="T6" s="277">
        <f t="shared" si="0"/>
        <v>2558409.3780000005</v>
      </c>
    </row>
    <row r="7" spans="2:20" ht="18" customHeight="1" x14ac:dyDescent="0.25">
      <c r="B7" s="275">
        <v>4</v>
      </c>
      <c r="C7" s="276" t="s">
        <v>244</v>
      </c>
      <c r="D7" s="277">
        <v>0</v>
      </c>
      <c r="E7" s="277">
        <v>212090.802</v>
      </c>
      <c r="F7" s="277">
        <v>491562.29850000003</v>
      </c>
      <c r="G7" s="277">
        <v>297322.73550000007</v>
      </c>
      <c r="H7" s="277">
        <v>396430.31400000001</v>
      </c>
      <c r="I7" s="277">
        <v>50445.486000000004</v>
      </c>
      <c r="J7" s="277">
        <v>619422.63600000006</v>
      </c>
      <c r="K7" s="277">
        <v>198215.15700000001</v>
      </c>
      <c r="L7" s="277">
        <v>184966.78200000001</v>
      </c>
      <c r="M7" s="277">
        <v>0</v>
      </c>
      <c r="N7" s="277">
        <v>0</v>
      </c>
      <c r="O7" s="277">
        <v>0</v>
      </c>
      <c r="P7" s="277">
        <v>0</v>
      </c>
      <c r="Q7" s="277">
        <v>107953.16700000002</v>
      </c>
      <c r="R7" s="277">
        <v>0</v>
      </c>
      <c r="S7" s="277">
        <v>0</v>
      </c>
      <c r="T7" s="277">
        <f t="shared" si="0"/>
        <v>2558409.3780000005</v>
      </c>
    </row>
    <row r="8" spans="2:20" ht="18" customHeight="1" x14ac:dyDescent="0.25">
      <c r="B8" s="275">
        <v>5</v>
      </c>
      <c r="C8" s="276" t="s">
        <v>245</v>
      </c>
      <c r="D8" s="277">
        <v>0</v>
      </c>
      <c r="E8" s="277">
        <v>212090.802</v>
      </c>
      <c r="F8" s="277">
        <v>491562.29850000003</v>
      </c>
      <c r="G8" s="277">
        <v>297322.73550000007</v>
      </c>
      <c r="H8" s="277">
        <v>396430.31400000001</v>
      </c>
      <c r="I8" s="277">
        <v>50445.486000000004</v>
      </c>
      <c r="J8" s="277">
        <v>619422.63600000006</v>
      </c>
      <c r="K8" s="277">
        <v>198215.15700000001</v>
      </c>
      <c r="L8" s="277">
        <v>184966.78200000001</v>
      </c>
      <c r="M8" s="277">
        <v>0</v>
      </c>
      <c r="N8" s="277">
        <v>0</v>
      </c>
      <c r="O8" s="277">
        <v>0</v>
      </c>
      <c r="P8" s="277">
        <v>0</v>
      </c>
      <c r="Q8" s="277">
        <v>107953.16700000002</v>
      </c>
      <c r="R8" s="277">
        <v>0</v>
      </c>
      <c r="S8" s="277">
        <v>0</v>
      </c>
      <c r="T8" s="277">
        <f t="shared" si="0"/>
        <v>2558409.3780000005</v>
      </c>
    </row>
    <row r="9" spans="2:20" ht="18" customHeight="1" x14ac:dyDescent="0.25">
      <c r="B9" s="275">
        <v>6</v>
      </c>
      <c r="C9" s="276" t="s">
        <v>246</v>
      </c>
      <c r="D9" s="277">
        <v>0</v>
      </c>
      <c r="E9" s="277">
        <v>212090.802</v>
      </c>
      <c r="F9" s="277">
        <v>491562.29850000003</v>
      </c>
      <c r="G9" s="277">
        <v>297322.73550000007</v>
      </c>
      <c r="H9" s="277">
        <v>396430.31400000001</v>
      </c>
      <c r="I9" s="277">
        <v>50445.486000000004</v>
      </c>
      <c r="J9" s="277">
        <v>619422.63600000006</v>
      </c>
      <c r="K9" s="277">
        <v>198215.15700000001</v>
      </c>
      <c r="L9" s="277">
        <v>184966.78200000001</v>
      </c>
      <c r="M9" s="277">
        <v>0</v>
      </c>
      <c r="N9" s="277">
        <v>0</v>
      </c>
      <c r="O9" s="277">
        <v>0</v>
      </c>
      <c r="P9" s="277">
        <v>0</v>
      </c>
      <c r="Q9" s="277">
        <v>107953.16700000002</v>
      </c>
      <c r="R9" s="277">
        <v>0</v>
      </c>
      <c r="S9" s="277">
        <v>0</v>
      </c>
      <c r="T9" s="277">
        <f t="shared" si="0"/>
        <v>2558409.3780000005</v>
      </c>
    </row>
    <row r="10" spans="2:20" ht="18" customHeight="1" x14ac:dyDescent="0.25">
      <c r="B10" s="275">
        <v>7</v>
      </c>
      <c r="C10" s="276" t="s">
        <v>526</v>
      </c>
      <c r="D10" s="277">
        <v>0</v>
      </c>
      <c r="E10" s="277">
        <v>212090.802</v>
      </c>
      <c r="F10" s="277">
        <v>491562.29850000003</v>
      </c>
      <c r="G10" s="277">
        <v>297322.73550000007</v>
      </c>
      <c r="H10" s="277">
        <v>396430.31400000001</v>
      </c>
      <c r="I10" s="277">
        <v>50445.486000000004</v>
      </c>
      <c r="J10" s="277">
        <v>619422.63600000006</v>
      </c>
      <c r="K10" s="277">
        <v>198215.15700000001</v>
      </c>
      <c r="L10" s="277">
        <v>184966.78200000001</v>
      </c>
      <c r="M10" s="277">
        <v>0</v>
      </c>
      <c r="N10" s="277">
        <v>0</v>
      </c>
      <c r="O10" s="277">
        <v>0</v>
      </c>
      <c r="P10" s="277">
        <v>0</v>
      </c>
      <c r="Q10" s="277">
        <v>0</v>
      </c>
      <c r="R10" s="277">
        <v>0</v>
      </c>
      <c r="S10" s="277">
        <v>0</v>
      </c>
      <c r="T10" s="277">
        <f t="shared" si="0"/>
        <v>2450456.2110000006</v>
      </c>
    </row>
    <row r="11" spans="2:20" ht="18" customHeight="1" x14ac:dyDescent="0.25">
      <c r="B11" s="275">
        <v>8</v>
      </c>
      <c r="C11" s="276" t="s">
        <v>248</v>
      </c>
      <c r="D11" s="277">
        <v>0</v>
      </c>
      <c r="E11" s="277">
        <v>212090.802</v>
      </c>
      <c r="F11" s="277">
        <v>491562.29850000003</v>
      </c>
      <c r="G11" s="277">
        <v>297322.73550000007</v>
      </c>
      <c r="H11" s="277">
        <v>396430.31400000001</v>
      </c>
      <c r="I11" s="277">
        <v>50445.486000000004</v>
      </c>
      <c r="J11" s="277">
        <v>619422.63600000006</v>
      </c>
      <c r="K11" s="277">
        <v>198215.15700000001</v>
      </c>
      <c r="L11" s="277">
        <v>184966.78200000001</v>
      </c>
      <c r="M11" s="277">
        <v>0</v>
      </c>
      <c r="N11" s="277">
        <v>0</v>
      </c>
      <c r="O11" s="277">
        <v>0</v>
      </c>
      <c r="P11" s="277">
        <v>0</v>
      </c>
      <c r="Q11" s="277">
        <v>107953.16700000002</v>
      </c>
      <c r="R11" s="277">
        <v>0</v>
      </c>
      <c r="S11" s="277">
        <v>0</v>
      </c>
      <c r="T11" s="277">
        <f t="shared" si="0"/>
        <v>2558409.3780000005</v>
      </c>
    </row>
    <row r="12" spans="2:20" ht="18" customHeight="1" x14ac:dyDescent="0.25">
      <c r="B12" s="275">
        <v>9</v>
      </c>
      <c r="C12" s="278" t="s">
        <v>249</v>
      </c>
      <c r="D12" s="277">
        <v>0</v>
      </c>
      <c r="E12" s="277">
        <v>212090.802</v>
      </c>
      <c r="F12" s="277">
        <v>491562.29850000003</v>
      </c>
      <c r="G12" s="277">
        <v>297322.73550000007</v>
      </c>
      <c r="H12" s="277">
        <v>396430.31400000001</v>
      </c>
      <c r="I12" s="277">
        <v>50445.486000000004</v>
      </c>
      <c r="J12" s="277">
        <v>619422.63600000006</v>
      </c>
      <c r="K12" s="277">
        <v>198215.15700000001</v>
      </c>
      <c r="L12" s="277">
        <v>184966.78200000001</v>
      </c>
      <c r="M12" s="277">
        <v>0</v>
      </c>
      <c r="N12" s="277">
        <v>0</v>
      </c>
      <c r="O12" s="277">
        <v>0</v>
      </c>
      <c r="P12" s="277">
        <v>0</v>
      </c>
      <c r="Q12" s="277">
        <v>107953.16700000002</v>
      </c>
      <c r="R12" s="277">
        <v>0</v>
      </c>
      <c r="S12" s="277">
        <v>0</v>
      </c>
      <c r="T12" s="277">
        <f t="shared" si="0"/>
        <v>2558409.3780000005</v>
      </c>
    </row>
    <row r="13" spans="2:20" ht="18" customHeight="1" x14ac:dyDescent="0.25">
      <c r="B13" s="275">
        <v>10</v>
      </c>
      <c r="C13" s="276" t="s">
        <v>250</v>
      </c>
      <c r="D13" s="277">
        <v>0</v>
      </c>
      <c r="E13" s="277">
        <v>212090.802</v>
      </c>
      <c r="F13" s="277">
        <v>491562.29850000003</v>
      </c>
      <c r="G13" s="277">
        <v>297322.73550000007</v>
      </c>
      <c r="H13" s="277">
        <v>396430.31400000001</v>
      </c>
      <c r="I13" s="277">
        <v>50445.486000000004</v>
      </c>
      <c r="J13" s="277">
        <v>619422.63600000006</v>
      </c>
      <c r="K13" s="277">
        <v>198215.15700000001</v>
      </c>
      <c r="L13" s="277">
        <v>184966.78200000001</v>
      </c>
      <c r="M13" s="277">
        <v>0</v>
      </c>
      <c r="N13" s="277">
        <v>0</v>
      </c>
      <c r="O13" s="277">
        <v>0</v>
      </c>
      <c r="P13" s="277">
        <v>0</v>
      </c>
      <c r="Q13" s="277">
        <v>107953.16700000002</v>
      </c>
      <c r="R13" s="277">
        <v>0</v>
      </c>
      <c r="S13" s="277">
        <v>0</v>
      </c>
      <c r="T13" s="277">
        <f t="shared" si="0"/>
        <v>2558409.3780000005</v>
      </c>
    </row>
    <row r="14" spans="2:20" ht="18" customHeight="1" x14ac:dyDescent="0.25">
      <c r="B14" s="275">
        <v>11</v>
      </c>
      <c r="C14" s="276" t="s">
        <v>251</v>
      </c>
      <c r="D14" s="277">
        <v>0</v>
      </c>
      <c r="E14" s="277">
        <v>212090.802</v>
      </c>
      <c r="F14" s="277">
        <v>491562.29850000003</v>
      </c>
      <c r="G14" s="277">
        <v>297322.73550000007</v>
      </c>
      <c r="H14" s="277">
        <v>396430.31400000001</v>
      </c>
      <c r="I14" s="277">
        <v>50445.486000000004</v>
      </c>
      <c r="J14" s="277">
        <v>619422.63600000006</v>
      </c>
      <c r="K14" s="277">
        <v>198215.15700000001</v>
      </c>
      <c r="L14" s="277">
        <v>184966.78200000001</v>
      </c>
      <c r="M14" s="277">
        <v>0</v>
      </c>
      <c r="N14" s="277">
        <v>0</v>
      </c>
      <c r="O14" s="277">
        <v>0</v>
      </c>
      <c r="P14" s="277">
        <v>0</v>
      </c>
      <c r="Q14" s="277">
        <v>107953.16700000002</v>
      </c>
      <c r="R14" s="277">
        <v>0</v>
      </c>
      <c r="S14" s="277">
        <v>0</v>
      </c>
      <c r="T14" s="277">
        <f t="shared" si="0"/>
        <v>2558409.3780000005</v>
      </c>
    </row>
    <row r="15" spans="2:20" ht="18" customHeight="1" x14ac:dyDescent="0.25">
      <c r="B15" s="275">
        <v>12</v>
      </c>
      <c r="C15" s="276" t="s">
        <v>252</v>
      </c>
      <c r="D15" s="277">
        <v>0</v>
      </c>
      <c r="E15" s="277">
        <v>212090.802</v>
      </c>
      <c r="F15" s="277">
        <v>491562.29850000003</v>
      </c>
      <c r="G15" s="277">
        <v>297322.73550000007</v>
      </c>
      <c r="H15" s="277">
        <v>396430.31400000001</v>
      </c>
      <c r="I15" s="277">
        <v>50445.486000000004</v>
      </c>
      <c r="J15" s="277">
        <v>619422.63600000006</v>
      </c>
      <c r="K15" s="277">
        <v>198215.15700000001</v>
      </c>
      <c r="L15" s="277">
        <v>184966.78200000001</v>
      </c>
      <c r="M15" s="277">
        <v>0</v>
      </c>
      <c r="N15" s="277">
        <v>0</v>
      </c>
      <c r="O15" s="277">
        <v>0</v>
      </c>
      <c r="P15" s="277">
        <v>0</v>
      </c>
      <c r="Q15" s="277">
        <v>107953.16700000002</v>
      </c>
      <c r="R15" s="277">
        <v>0</v>
      </c>
      <c r="S15" s="277">
        <v>0</v>
      </c>
      <c r="T15" s="277">
        <f t="shared" si="0"/>
        <v>2558409.3780000005</v>
      </c>
    </row>
    <row r="16" spans="2:20" ht="18" customHeight="1" x14ac:dyDescent="0.25">
      <c r="B16" s="275">
        <v>13</v>
      </c>
      <c r="C16" s="276" t="s">
        <v>253</v>
      </c>
      <c r="D16" s="277">
        <v>0</v>
      </c>
      <c r="E16" s="277">
        <v>212090.802</v>
      </c>
      <c r="F16" s="277">
        <v>491562.29850000003</v>
      </c>
      <c r="G16" s="277">
        <v>297322.73550000007</v>
      </c>
      <c r="H16" s="277">
        <v>396430.31400000001</v>
      </c>
      <c r="I16" s="277">
        <v>50445.486000000004</v>
      </c>
      <c r="J16" s="277">
        <v>619422.63600000006</v>
      </c>
      <c r="K16" s="277">
        <v>198215.15700000001</v>
      </c>
      <c r="L16" s="277">
        <v>184966.78200000001</v>
      </c>
      <c r="M16" s="277">
        <v>0</v>
      </c>
      <c r="N16" s="277">
        <v>0</v>
      </c>
      <c r="O16" s="277">
        <v>0</v>
      </c>
      <c r="P16" s="277">
        <v>0</v>
      </c>
      <c r="Q16" s="277">
        <v>107953.16700000002</v>
      </c>
      <c r="R16" s="277">
        <v>0</v>
      </c>
      <c r="S16" s="277">
        <v>0</v>
      </c>
      <c r="T16" s="277">
        <f t="shared" si="0"/>
        <v>2558409.3780000005</v>
      </c>
    </row>
    <row r="17" spans="2:20" ht="18" customHeight="1" x14ac:dyDescent="0.25">
      <c r="B17" s="275">
        <v>14</v>
      </c>
      <c r="C17" s="278" t="s">
        <v>254</v>
      </c>
      <c r="D17" s="277">
        <v>0</v>
      </c>
      <c r="E17" s="277">
        <v>212090.802</v>
      </c>
      <c r="F17" s="277">
        <v>491562.29850000003</v>
      </c>
      <c r="G17" s="277">
        <v>297322.73550000007</v>
      </c>
      <c r="H17" s="277">
        <v>396430.31400000001</v>
      </c>
      <c r="I17" s="277">
        <v>50445.486000000004</v>
      </c>
      <c r="J17" s="277">
        <v>619422.63600000006</v>
      </c>
      <c r="K17" s="277">
        <v>198215.15700000001</v>
      </c>
      <c r="L17" s="277">
        <v>184966.78200000001</v>
      </c>
      <c r="M17" s="277">
        <v>0</v>
      </c>
      <c r="N17" s="277">
        <v>0</v>
      </c>
      <c r="O17" s="277">
        <v>0</v>
      </c>
      <c r="P17" s="277">
        <v>0</v>
      </c>
      <c r="Q17" s="277">
        <v>107953.16700000002</v>
      </c>
      <c r="R17" s="277">
        <v>0</v>
      </c>
      <c r="S17" s="277">
        <v>0</v>
      </c>
      <c r="T17" s="277">
        <f t="shared" si="0"/>
        <v>2558409.3780000005</v>
      </c>
    </row>
    <row r="18" spans="2:20" ht="18" customHeight="1" x14ac:dyDescent="0.25">
      <c r="B18" s="275">
        <v>15</v>
      </c>
      <c r="C18" s="276" t="s">
        <v>255</v>
      </c>
      <c r="D18" s="277">
        <v>0</v>
      </c>
      <c r="E18" s="277">
        <v>212090.802</v>
      </c>
      <c r="F18" s="277">
        <v>491562.29850000003</v>
      </c>
      <c r="G18" s="277">
        <v>297322.73550000007</v>
      </c>
      <c r="H18" s="277">
        <v>396430.31400000001</v>
      </c>
      <c r="I18" s="277">
        <v>50445.486000000004</v>
      </c>
      <c r="J18" s="277">
        <v>619422.63600000006</v>
      </c>
      <c r="K18" s="277">
        <v>198215.15700000001</v>
      </c>
      <c r="L18" s="277">
        <v>184966.78200000001</v>
      </c>
      <c r="M18" s="277">
        <v>0</v>
      </c>
      <c r="N18" s="277">
        <v>0</v>
      </c>
      <c r="O18" s="277">
        <v>0</v>
      </c>
      <c r="P18" s="277">
        <v>0</v>
      </c>
      <c r="Q18" s="277">
        <v>107953.16700000002</v>
      </c>
      <c r="R18" s="277">
        <v>0</v>
      </c>
      <c r="S18" s="277">
        <v>0</v>
      </c>
      <c r="T18" s="277">
        <f t="shared" si="0"/>
        <v>2558409.3780000005</v>
      </c>
    </row>
    <row r="19" spans="2:20" ht="18" customHeight="1" x14ac:dyDescent="0.25">
      <c r="B19" s="275">
        <v>16</v>
      </c>
      <c r="C19" s="276" t="s">
        <v>256</v>
      </c>
      <c r="D19" s="277">
        <v>0</v>
      </c>
      <c r="E19" s="277">
        <v>212090.802</v>
      </c>
      <c r="F19" s="277">
        <v>491562.29850000003</v>
      </c>
      <c r="G19" s="277">
        <v>297322.73550000007</v>
      </c>
      <c r="H19" s="277">
        <v>396430.31400000001</v>
      </c>
      <c r="I19" s="277">
        <v>50445.486000000004</v>
      </c>
      <c r="J19" s="277">
        <v>619422.63600000006</v>
      </c>
      <c r="K19" s="277">
        <v>198215.15700000001</v>
      </c>
      <c r="L19" s="277">
        <v>184966.78200000001</v>
      </c>
      <c r="M19" s="277">
        <v>0</v>
      </c>
      <c r="N19" s="277">
        <v>0</v>
      </c>
      <c r="O19" s="277">
        <v>0</v>
      </c>
      <c r="P19" s="277">
        <v>0</v>
      </c>
      <c r="Q19" s="277">
        <v>107953.16700000002</v>
      </c>
      <c r="R19" s="277">
        <v>0</v>
      </c>
      <c r="S19" s="277">
        <v>0</v>
      </c>
      <c r="T19" s="277">
        <f t="shared" si="0"/>
        <v>2558409.3780000005</v>
      </c>
    </row>
    <row r="20" spans="2:20" ht="18" customHeight="1" x14ac:dyDescent="0.25">
      <c r="B20" s="275">
        <v>17</v>
      </c>
      <c r="C20" s="276" t="s">
        <v>257</v>
      </c>
      <c r="D20" s="277">
        <v>0</v>
      </c>
      <c r="E20" s="277">
        <v>212090.802</v>
      </c>
      <c r="F20" s="277">
        <v>491562.29850000003</v>
      </c>
      <c r="G20" s="277">
        <v>297322.73550000007</v>
      </c>
      <c r="H20" s="277">
        <v>396430.31400000001</v>
      </c>
      <c r="I20" s="277">
        <v>50445.486000000004</v>
      </c>
      <c r="J20" s="277">
        <v>619422.63600000006</v>
      </c>
      <c r="K20" s="277">
        <v>198215.15700000001</v>
      </c>
      <c r="L20" s="277">
        <v>184966.78200000001</v>
      </c>
      <c r="M20" s="277">
        <v>0</v>
      </c>
      <c r="N20" s="277">
        <v>0</v>
      </c>
      <c r="O20" s="277">
        <v>0</v>
      </c>
      <c r="P20" s="277">
        <v>0</v>
      </c>
      <c r="Q20" s="277">
        <v>107953.16700000002</v>
      </c>
      <c r="R20" s="277">
        <v>0</v>
      </c>
      <c r="S20" s="277">
        <v>0</v>
      </c>
      <c r="T20" s="277">
        <f t="shared" si="0"/>
        <v>2558409.3780000005</v>
      </c>
    </row>
    <row r="21" spans="2:20" ht="18" customHeight="1" x14ac:dyDescent="0.25">
      <c r="B21" s="275">
        <v>18</v>
      </c>
      <c r="C21" s="276" t="s">
        <v>258</v>
      </c>
      <c r="D21" s="277">
        <v>0</v>
      </c>
      <c r="E21" s="277">
        <v>212090.802</v>
      </c>
      <c r="F21" s="277">
        <v>491562.29850000003</v>
      </c>
      <c r="G21" s="277">
        <v>297322.73550000007</v>
      </c>
      <c r="H21" s="277">
        <v>396430.31400000001</v>
      </c>
      <c r="I21" s="277">
        <v>50445.486000000004</v>
      </c>
      <c r="J21" s="277">
        <v>619422.63600000006</v>
      </c>
      <c r="K21" s="277">
        <v>198215.15700000001</v>
      </c>
      <c r="L21" s="277">
        <v>184966.78200000001</v>
      </c>
      <c r="M21" s="277">
        <v>0</v>
      </c>
      <c r="N21" s="277">
        <v>0</v>
      </c>
      <c r="O21" s="277">
        <v>0</v>
      </c>
      <c r="P21" s="277">
        <v>0</v>
      </c>
      <c r="Q21" s="277">
        <v>107953.16700000002</v>
      </c>
      <c r="R21" s="277">
        <v>0</v>
      </c>
      <c r="S21" s="277">
        <v>0</v>
      </c>
      <c r="T21" s="277">
        <f t="shared" si="0"/>
        <v>2558409.3780000005</v>
      </c>
    </row>
    <row r="22" spans="2:20" ht="18" customHeight="1" x14ac:dyDescent="0.25">
      <c r="B22" s="275">
        <v>19</v>
      </c>
      <c r="C22" s="276" t="s">
        <v>259</v>
      </c>
      <c r="D22" s="277">
        <v>161929.75050000002</v>
      </c>
      <c r="E22" s="277">
        <v>212090.802</v>
      </c>
      <c r="F22" s="277">
        <v>491562.29850000003</v>
      </c>
      <c r="G22" s="277">
        <v>297322.73550000007</v>
      </c>
      <c r="H22" s="277">
        <v>396430.31400000001</v>
      </c>
      <c r="I22" s="277">
        <v>50445.486000000004</v>
      </c>
      <c r="J22" s="277">
        <v>619422.63600000006</v>
      </c>
      <c r="K22" s="277">
        <v>198215.15700000001</v>
      </c>
      <c r="L22" s="277">
        <v>184966.78200000001</v>
      </c>
      <c r="M22" s="277">
        <v>2477690.5440000002</v>
      </c>
      <c r="N22" s="277">
        <v>4203789.4185000006</v>
      </c>
      <c r="O22" s="277">
        <v>743307.37950000004</v>
      </c>
      <c r="P22" s="277">
        <v>1189292.0234999999</v>
      </c>
      <c r="Q22" s="277">
        <v>107953.16700000002</v>
      </c>
      <c r="R22" s="277">
        <v>0</v>
      </c>
      <c r="S22" s="277">
        <v>504454.86</v>
      </c>
      <c r="T22" s="277">
        <f t="shared" si="0"/>
        <v>11838873.354</v>
      </c>
    </row>
    <row r="23" spans="2:20" ht="18" customHeight="1" x14ac:dyDescent="0.25">
      <c r="B23" s="275">
        <v>20</v>
      </c>
      <c r="C23" s="276" t="s">
        <v>260</v>
      </c>
      <c r="D23" s="277">
        <v>0</v>
      </c>
      <c r="E23" s="277">
        <v>212090.802</v>
      </c>
      <c r="F23" s="277">
        <v>491562.29850000003</v>
      </c>
      <c r="G23" s="277">
        <v>297322.73550000007</v>
      </c>
      <c r="H23" s="277">
        <v>396430.31400000001</v>
      </c>
      <c r="I23" s="277">
        <v>50445.486000000004</v>
      </c>
      <c r="J23" s="277">
        <v>619422.63600000006</v>
      </c>
      <c r="K23" s="277">
        <v>198215.15700000001</v>
      </c>
      <c r="L23" s="277">
        <v>184966.78200000001</v>
      </c>
      <c r="M23" s="277">
        <v>0</v>
      </c>
      <c r="N23" s="277">
        <v>0</v>
      </c>
      <c r="O23" s="277">
        <v>0</v>
      </c>
      <c r="P23" s="277">
        <v>0</v>
      </c>
      <c r="Q23" s="277">
        <v>107953.16700000002</v>
      </c>
      <c r="R23" s="277">
        <v>0</v>
      </c>
      <c r="S23" s="277">
        <v>0</v>
      </c>
      <c r="T23" s="277">
        <f t="shared" si="0"/>
        <v>2558409.3780000005</v>
      </c>
    </row>
    <row r="24" spans="2:20" ht="18" customHeight="1" x14ac:dyDescent="0.25">
      <c r="B24" s="275">
        <v>21</v>
      </c>
      <c r="C24" s="276" t="s">
        <v>261</v>
      </c>
      <c r="D24" s="277">
        <v>0</v>
      </c>
      <c r="E24" s="277">
        <v>212090.802</v>
      </c>
      <c r="F24" s="277">
        <v>491562.29850000003</v>
      </c>
      <c r="G24" s="277">
        <v>297322.73550000007</v>
      </c>
      <c r="H24" s="277">
        <v>396430.31400000001</v>
      </c>
      <c r="I24" s="277">
        <v>50445.486000000004</v>
      </c>
      <c r="J24" s="277">
        <v>619422.63600000006</v>
      </c>
      <c r="K24" s="277">
        <v>198215.15700000001</v>
      </c>
      <c r="L24" s="277">
        <v>184966.78200000001</v>
      </c>
      <c r="M24" s="277">
        <v>0</v>
      </c>
      <c r="N24" s="277">
        <v>0</v>
      </c>
      <c r="O24" s="277">
        <v>0</v>
      </c>
      <c r="P24" s="277">
        <v>0</v>
      </c>
      <c r="Q24" s="277">
        <v>107953.16700000002</v>
      </c>
      <c r="R24" s="277">
        <v>0</v>
      </c>
      <c r="S24" s="277">
        <v>0</v>
      </c>
      <c r="T24" s="277">
        <f t="shared" si="0"/>
        <v>2558409.3780000005</v>
      </c>
    </row>
    <row r="25" spans="2:20" ht="18" customHeight="1" x14ac:dyDescent="0.25">
      <c r="B25" s="275">
        <v>22</v>
      </c>
      <c r="C25" s="276" t="s">
        <v>262</v>
      </c>
      <c r="D25" s="277">
        <v>0</v>
      </c>
      <c r="E25" s="277">
        <v>212090.802</v>
      </c>
      <c r="F25" s="277">
        <v>491562.29850000003</v>
      </c>
      <c r="G25" s="277">
        <v>297322.73550000007</v>
      </c>
      <c r="H25" s="277">
        <v>396430.31400000001</v>
      </c>
      <c r="I25" s="277">
        <v>50445.486000000004</v>
      </c>
      <c r="J25" s="277">
        <v>619422.63600000006</v>
      </c>
      <c r="K25" s="277">
        <v>198215.15700000001</v>
      </c>
      <c r="L25" s="277">
        <v>184966.78200000001</v>
      </c>
      <c r="M25" s="277">
        <v>0</v>
      </c>
      <c r="N25" s="277">
        <v>0</v>
      </c>
      <c r="O25" s="277">
        <v>0</v>
      </c>
      <c r="P25" s="277">
        <v>0</v>
      </c>
      <c r="Q25" s="277">
        <v>107953.16700000002</v>
      </c>
      <c r="R25" s="277">
        <v>0</v>
      </c>
      <c r="S25" s="277">
        <v>0</v>
      </c>
      <c r="T25" s="277">
        <f t="shared" si="0"/>
        <v>2558409.3780000005</v>
      </c>
    </row>
    <row r="26" spans="2:20" ht="18" customHeight="1" x14ac:dyDescent="0.25">
      <c r="B26" s="275">
        <v>23</v>
      </c>
      <c r="C26" s="276" t="s">
        <v>263</v>
      </c>
      <c r="D26" s="277">
        <v>0</v>
      </c>
      <c r="E26" s="277">
        <v>212090.802</v>
      </c>
      <c r="F26" s="277">
        <v>491562.29850000003</v>
      </c>
      <c r="G26" s="277">
        <v>297322.73550000007</v>
      </c>
      <c r="H26" s="277">
        <v>396430.31400000001</v>
      </c>
      <c r="I26" s="277">
        <v>50445.486000000004</v>
      </c>
      <c r="J26" s="277">
        <v>619422.63600000006</v>
      </c>
      <c r="K26" s="277">
        <v>198215.15700000001</v>
      </c>
      <c r="L26" s="277">
        <v>184966.78200000001</v>
      </c>
      <c r="M26" s="277">
        <v>0</v>
      </c>
      <c r="N26" s="277">
        <v>0</v>
      </c>
      <c r="O26" s="277">
        <v>0</v>
      </c>
      <c r="P26" s="277">
        <v>0</v>
      </c>
      <c r="Q26" s="277">
        <v>107953.16700000002</v>
      </c>
      <c r="R26" s="277">
        <v>0</v>
      </c>
      <c r="S26" s="277">
        <v>0</v>
      </c>
      <c r="T26" s="277">
        <f t="shared" si="0"/>
        <v>2558409.3780000005</v>
      </c>
    </row>
    <row r="27" spans="2:20" ht="18" customHeight="1" x14ac:dyDescent="0.25">
      <c r="B27" s="275">
        <v>24</v>
      </c>
      <c r="C27" s="276" t="s">
        <v>264</v>
      </c>
      <c r="D27" s="277">
        <v>0</v>
      </c>
      <c r="E27" s="277">
        <v>212090.802</v>
      </c>
      <c r="F27" s="277">
        <v>491562.29850000003</v>
      </c>
      <c r="G27" s="277">
        <v>297322.73550000007</v>
      </c>
      <c r="H27" s="277">
        <v>396430.31400000001</v>
      </c>
      <c r="I27" s="277">
        <v>50445.486000000004</v>
      </c>
      <c r="J27" s="277">
        <v>619422.63600000006</v>
      </c>
      <c r="K27" s="277">
        <v>198215.15700000001</v>
      </c>
      <c r="L27" s="277">
        <v>184966.78200000001</v>
      </c>
      <c r="M27" s="277">
        <v>0</v>
      </c>
      <c r="N27" s="277">
        <v>0</v>
      </c>
      <c r="O27" s="277">
        <v>0</v>
      </c>
      <c r="P27" s="277">
        <v>0</v>
      </c>
      <c r="Q27" s="277">
        <v>107953.16700000002</v>
      </c>
      <c r="R27" s="277">
        <v>0</v>
      </c>
      <c r="S27" s="277">
        <v>0</v>
      </c>
      <c r="T27" s="277">
        <f t="shared" si="0"/>
        <v>2558409.3780000005</v>
      </c>
    </row>
    <row r="28" spans="2:20" ht="18" customHeight="1" x14ac:dyDescent="0.25">
      <c r="B28" s="275">
        <v>25</v>
      </c>
      <c r="C28" s="276" t="s">
        <v>265</v>
      </c>
      <c r="D28" s="277">
        <v>161929.75050000002</v>
      </c>
      <c r="E28" s="277">
        <v>212090.802</v>
      </c>
      <c r="F28" s="277">
        <v>491562.29850000003</v>
      </c>
      <c r="G28" s="277">
        <v>297322.73550000007</v>
      </c>
      <c r="H28" s="277">
        <v>396430.31400000001</v>
      </c>
      <c r="I28" s="277">
        <v>50445.486000000004</v>
      </c>
      <c r="J28" s="277">
        <v>619422.63600000006</v>
      </c>
      <c r="K28" s="277">
        <v>198215.15700000001</v>
      </c>
      <c r="L28" s="277">
        <v>184966.78200000001</v>
      </c>
      <c r="M28" s="277">
        <v>2477690.5440000002</v>
      </c>
      <c r="N28" s="277">
        <v>4203789.4185000006</v>
      </c>
      <c r="O28" s="277">
        <v>743307.37950000004</v>
      </c>
      <c r="P28" s="277">
        <v>1189292.0234999999</v>
      </c>
      <c r="Q28" s="277">
        <v>107953.16700000002</v>
      </c>
      <c r="R28" s="277">
        <v>588530.67000000004</v>
      </c>
      <c r="S28" s="277">
        <v>504454.86</v>
      </c>
      <c r="T28" s="277">
        <f t="shared" si="0"/>
        <v>12427404.024</v>
      </c>
    </row>
    <row r="29" spans="2:20" ht="18" customHeight="1" x14ac:dyDescent="0.25">
      <c r="B29" s="275">
        <v>26</v>
      </c>
      <c r="C29" s="276" t="s">
        <v>266</v>
      </c>
      <c r="D29" s="277">
        <v>0</v>
      </c>
      <c r="E29" s="277">
        <v>212090.802</v>
      </c>
      <c r="F29" s="277">
        <v>491562.29850000003</v>
      </c>
      <c r="G29" s="277">
        <v>297322.73550000007</v>
      </c>
      <c r="H29" s="277">
        <v>396430.31400000001</v>
      </c>
      <c r="I29" s="277">
        <v>50445.486000000004</v>
      </c>
      <c r="J29" s="277">
        <v>619422.63600000006</v>
      </c>
      <c r="K29" s="277">
        <v>198215.15700000001</v>
      </c>
      <c r="L29" s="277">
        <v>184966.78200000001</v>
      </c>
      <c r="M29" s="277">
        <v>0</v>
      </c>
      <c r="N29" s="277">
        <v>0</v>
      </c>
      <c r="O29" s="277">
        <v>0</v>
      </c>
      <c r="P29" s="277">
        <v>0</v>
      </c>
      <c r="Q29" s="277">
        <v>107953.16700000002</v>
      </c>
      <c r="R29" s="277">
        <v>0</v>
      </c>
      <c r="S29" s="277">
        <v>0</v>
      </c>
      <c r="T29" s="277">
        <f t="shared" si="0"/>
        <v>2558409.3780000005</v>
      </c>
    </row>
    <row r="30" spans="2:20" ht="18" customHeight="1" x14ac:dyDescent="0.25">
      <c r="B30" s="275">
        <v>27</v>
      </c>
      <c r="C30" s="276" t="s">
        <v>267</v>
      </c>
      <c r="D30" s="277">
        <v>0</v>
      </c>
      <c r="E30" s="277">
        <v>212090.802</v>
      </c>
      <c r="F30" s="277">
        <v>491562.29850000003</v>
      </c>
      <c r="G30" s="277">
        <v>297322.73550000007</v>
      </c>
      <c r="H30" s="277">
        <v>396430.31400000001</v>
      </c>
      <c r="I30" s="277">
        <v>50445.486000000004</v>
      </c>
      <c r="J30" s="277">
        <v>619422.63600000006</v>
      </c>
      <c r="K30" s="277">
        <v>198215.15700000001</v>
      </c>
      <c r="L30" s="277">
        <v>184966.78200000001</v>
      </c>
      <c r="M30" s="277">
        <v>0</v>
      </c>
      <c r="N30" s="277">
        <v>0</v>
      </c>
      <c r="O30" s="277">
        <v>0</v>
      </c>
      <c r="P30" s="277">
        <v>0</v>
      </c>
      <c r="Q30" s="277">
        <v>107953.16700000002</v>
      </c>
      <c r="R30" s="277">
        <v>0</v>
      </c>
      <c r="S30" s="277">
        <v>0</v>
      </c>
      <c r="T30" s="277">
        <f t="shared" si="0"/>
        <v>2558409.3780000005</v>
      </c>
    </row>
    <row r="31" spans="2:20" ht="18" customHeight="1" x14ac:dyDescent="0.25">
      <c r="B31" s="275">
        <v>28</v>
      </c>
      <c r="C31" s="276" t="s">
        <v>268</v>
      </c>
      <c r="D31" s="277">
        <v>0</v>
      </c>
      <c r="E31" s="277">
        <v>212090.802</v>
      </c>
      <c r="F31" s="277">
        <v>491562.29850000003</v>
      </c>
      <c r="G31" s="277">
        <v>297322.73550000007</v>
      </c>
      <c r="H31" s="277">
        <v>396430.31400000001</v>
      </c>
      <c r="I31" s="277">
        <v>50445.486000000004</v>
      </c>
      <c r="J31" s="277">
        <v>619422.63600000006</v>
      </c>
      <c r="K31" s="277">
        <v>198215.15700000001</v>
      </c>
      <c r="L31" s="277">
        <v>184966.78200000001</v>
      </c>
      <c r="M31" s="277">
        <v>0</v>
      </c>
      <c r="N31" s="277">
        <v>0</v>
      </c>
      <c r="O31" s="277">
        <v>0</v>
      </c>
      <c r="P31" s="277">
        <v>0</v>
      </c>
      <c r="Q31" s="277">
        <v>107953.16700000002</v>
      </c>
      <c r="R31" s="277">
        <v>0</v>
      </c>
      <c r="S31" s="277">
        <v>0</v>
      </c>
      <c r="T31" s="277">
        <f t="shared" si="0"/>
        <v>2558409.3780000005</v>
      </c>
    </row>
    <row r="32" spans="2:20" ht="18" customHeight="1" x14ac:dyDescent="0.25">
      <c r="B32" s="275">
        <v>29</v>
      </c>
      <c r="C32" s="276" t="s">
        <v>269</v>
      </c>
      <c r="D32" s="277">
        <v>0</v>
      </c>
      <c r="E32" s="277">
        <v>212090.802</v>
      </c>
      <c r="F32" s="277">
        <v>491562.29850000003</v>
      </c>
      <c r="G32" s="277">
        <v>297322.73550000007</v>
      </c>
      <c r="H32" s="277">
        <v>396430.31400000001</v>
      </c>
      <c r="I32" s="277">
        <v>50445.486000000004</v>
      </c>
      <c r="J32" s="277">
        <v>619422.63600000006</v>
      </c>
      <c r="K32" s="277">
        <v>198215.15700000001</v>
      </c>
      <c r="L32" s="277">
        <v>184966.78200000001</v>
      </c>
      <c r="M32" s="277">
        <v>0</v>
      </c>
      <c r="N32" s="277">
        <v>0</v>
      </c>
      <c r="O32" s="277">
        <v>0</v>
      </c>
      <c r="P32" s="277">
        <v>0</v>
      </c>
      <c r="Q32" s="277">
        <v>107953.16700000002</v>
      </c>
      <c r="R32" s="277">
        <v>0</v>
      </c>
      <c r="S32" s="277">
        <v>0</v>
      </c>
      <c r="T32" s="277">
        <f t="shared" si="0"/>
        <v>2558409.3780000005</v>
      </c>
    </row>
    <row r="33" spans="2:20" ht="18" customHeight="1" x14ac:dyDescent="0.25">
      <c r="B33" s="275">
        <v>30</v>
      </c>
      <c r="C33" s="276" t="s">
        <v>270</v>
      </c>
      <c r="D33" s="277">
        <v>0</v>
      </c>
      <c r="E33" s="277">
        <v>212090.802</v>
      </c>
      <c r="F33" s="277">
        <v>491562.29850000003</v>
      </c>
      <c r="G33" s="277">
        <v>297322.73550000007</v>
      </c>
      <c r="H33" s="277">
        <v>396430.31400000001</v>
      </c>
      <c r="I33" s="277">
        <v>50445.486000000004</v>
      </c>
      <c r="J33" s="277">
        <v>619422.63600000006</v>
      </c>
      <c r="K33" s="277">
        <v>198215.15700000001</v>
      </c>
      <c r="L33" s="277">
        <v>184966.78200000001</v>
      </c>
      <c r="M33" s="277">
        <v>0</v>
      </c>
      <c r="N33" s="277">
        <v>0</v>
      </c>
      <c r="O33" s="277">
        <v>0</v>
      </c>
      <c r="P33" s="277">
        <v>0</v>
      </c>
      <c r="Q33" s="277">
        <v>107953.16700000002</v>
      </c>
      <c r="R33" s="277">
        <v>0</v>
      </c>
      <c r="S33" s="277">
        <v>0</v>
      </c>
      <c r="T33" s="277">
        <f t="shared" si="0"/>
        <v>2558409.3780000005</v>
      </c>
    </row>
    <row r="34" spans="2:20" ht="18" customHeight="1" x14ac:dyDescent="0.25">
      <c r="B34" s="275">
        <v>31</v>
      </c>
      <c r="C34" s="276" t="s">
        <v>271</v>
      </c>
      <c r="D34" s="277">
        <v>0</v>
      </c>
      <c r="E34" s="277">
        <v>212090.802</v>
      </c>
      <c r="F34" s="277">
        <v>491562.29850000003</v>
      </c>
      <c r="G34" s="277">
        <v>297322.73550000007</v>
      </c>
      <c r="H34" s="277">
        <v>396430.31400000001</v>
      </c>
      <c r="I34" s="277">
        <v>50445.486000000004</v>
      </c>
      <c r="J34" s="277">
        <v>619422.63600000006</v>
      </c>
      <c r="K34" s="277">
        <v>198215.15700000001</v>
      </c>
      <c r="L34" s="277">
        <v>184966.78200000001</v>
      </c>
      <c r="M34" s="277">
        <v>0</v>
      </c>
      <c r="N34" s="277">
        <v>0</v>
      </c>
      <c r="O34" s="277">
        <v>0</v>
      </c>
      <c r="P34" s="277">
        <v>0</v>
      </c>
      <c r="Q34" s="277">
        <v>107953.16700000002</v>
      </c>
      <c r="R34" s="277">
        <v>0</v>
      </c>
      <c r="S34" s="277">
        <v>0</v>
      </c>
      <c r="T34" s="277">
        <f t="shared" si="0"/>
        <v>2558409.3780000005</v>
      </c>
    </row>
    <row r="35" spans="2:20" ht="18" customHeight="1" x14ac:dyDescent="0.25">
      <c r="B35" s="652"/>
      <c r="C35" s="653"/>
      <c r="D35" s="654"/>
      <c r="E35" s="654"/>
      <c r="F35" s="654"/>
      <c r="G35" s="654"/>
      <c r="H35" s="654"/>
      <c r="I35" s="654"/>
      <c r="J35" s="654"/>
      <c r="K35" s="654"/>
      <c r="L35" s="654"/>
      <c r="M35" s="654"/>
      <c r="N35" s="654"/>
      <c r="O35" s="654"/>
      <c r="P35" s="654"/>
      <c r="Q35" s="654"/>
      <c r="R35" s="654"/>
      <c r="S35" s="654"/>
      <c r="T35" s="654"/>
    </row>
    <row r="36" spans="2:20" ht="18" customHeight="1" x14ac:dyDescent="0.25">
      <c r="B36" s="655"/>
      <c r="C36" s="656"/>
      <c r="D36" s="657"/>
      <c r="E36" s="657"/>
      <c r="F36" s="657"/>
      <c r="G36" s="657"/>
      <c r="H36" s="657"/>
      <c r="I36" s="657"/>
      <c r="J36" s="657"/>
      <c r="K36" s="657"/>
      <c r="L36" s="657"/>
      <c r="M36" s="657"/>
      <c r="N36" s="657"/>
      <c r="O36" s="657"/>
      <c r="P36" s="657"/>
      <c r="Q36" s="657"/>
      <c r="R36" s="657"/>
      <c r="S36" s="657"/>
      <c r="T36" s="657"/>
    </row>
    <row r="37" spans="2:20" ht="18" customHeight="1" x14ac:dyDescent="0.25">
      <c r="B37" s="655"/>
      <c r="C37" s="656"/>
      <c r="D37" s="657"/>
      <c r="E37" s="657"/>
      <c r="F37" s="657"/>
      <c r="G37" s="657"/>
      <c r="H37" s="657"/>
      <c r="I37" s="657"/>
      <c r="J37" s="657"/>
      <c r="K37" s="657"/>
      <c r="L37" s="657"/>
      <c r="M37" s="657"/>
      <c r="N37" s="657"/>
      <c r="O37" s="657"/>
      <c r="P37" s="657"/>
      <c r="Q37" s="657"/>
      <c r="R37" s="657"/>
      <c r="S37" s="657"/>
      <c r="T37" s="658"/>
    </row>
    <row r="38" spans="2:20" ht="18" customHeight="1" x14ac:dyDescent="0.25">
      <c r="B38" s="644">
        <v>32</v>
      </c>
      <c r="C38" s="645" t="s">
        <v>272</v>
      </c>
      <c r="D38" s="646">
        <v>0</v>
      </c>
      <c r="E38" s="646">
        <v>212090.802</v>
      </c>
      <c r="F38" s="646">
        <v>491562.29850000003</v>
      </c>
      <c r="G38" s="646">
        <v>297322.73550000007</v>
      </c>
      <c r="H38" s="646">
        <v>396430.31400000001</v>
      </c>
      <c r="I38" s="646">
        <v>50445.486000000004</v>
      </c>
      <c r="J38" s="646">
        <v>619422.63600000006</v>
      </c>
      <c r="K38" s="646">
        <v>198215.15700000001</v>
      </c>
      <c r="L38" s="646">
        <v>184966.78200000001</v>
      </c>
      <c r="M38" s="646">
        <v>0</v>
      </c>
      <c r="N38" s="646">
        <v>0</v>
      </c>
      <c r="O38" s="646">
        <v>0</v>
      </c>
      <c r="P38" s="646">
        <v>0</v>
      </c>
      <c r="Q38" s="646">
        <v>107953.16700000002</v>
      </c>
      <c r="R38" s="646">
        <v>0</v>
      </c>
      <c r="S38" s="646">
        <v>0</v>
      </c>
      <c r="T38" s="646">
        <f t="shared" si="0"/>
        <v>2558409.3780000005</v>
      </c>
    </row>
    <row r="39" spans="2:20" ht="18" customHeight="1" x14ac:dyDescent="0.25">
      <c r="B39" s="644">
        <v>33</v>
      </c>
      <c r="C39" s="645" t="s">
        <v>273</v>
      </c>
      <c r="D39" s="646">
        <v>0</v>
      </c>
      <c r="E39" s="646">
        <v>212090.802</v>
      </c>
      <c r="F39" s="646">
        <v>491562.29850000003</v>
      </c>
      <c r="G39" s="646">
        <v>297322.73550000007</v>
      </c>
      <c r="H39" s="646">
        <v>396430.31400000001</v>
      </c>
      <c r="I39" s="646">
        <v>50445.486000000004</v>
      </c>
      <c r="J39" s="646">
        <v>619422.63600000006</v>
      </c>
      <c r="K39" s="646">
        <v>198215.15700000001</v>
      </c>
      <c r="L39" s="646">
        <v>184966.78200000001</v>
      </c>
      <c r="M39" s="646">
        <v>0</v>
      </c>
      <c r="N39" s="646">
        <v>0</v>
      </c>
      <c r="O39" s="646">
        <v>0</v>
      </c>
      <c r="P39" s="646">
        <v>0</v>
      </c>
      <c r="Q39" s="646">
        <v>107953.16700000002</v>
      </c>
      <c r="R39" s="646">
        <v>0</v>
      </c>
      <c r="S39" s="646">
        <v>0</v>
      </c>
      <c r="T39" s="646">
        <f t="shared" si="0"/>
        <v>2558409.3780000005</v>
      </c>
    </row>
    <row r="40" spans="2:20" ht="18" customHeight="1" x14ac:dyDescent="0.25">
      <c r="B40" s="644">
        <v>34</v>
      </c>
      <c r="C40" s="645" t="s">
        <v>274</v>
      </c>
      <c r="D40" s="646">
        <v>0</v>
      </c>
      <c r="E40" s="646">
        <v>212090.802</v>
      </c>
      <c r="F40" s="646">
        <v>491562.29850000003</v>
      </c>
      <c r="G40" s="646">
        <v>297322.73550000007</v>
      </c>
      <c r="H40" s="646">
        <v>396430.31400000001</v>
      </c>
      <c r="I40" s="646">
        <v>50445.486000000004</v>
      </c>
      <c r="J40" s="646">
        <v>619422.63600000006</v>
      </c>
      <c r="K40" s="646">
        <v>198215.15700000001</v>
      </c>
      <c r="L40" s="646">
        <v>184966.78200000001</v>
      </c>
      <c r="M40" s="646">
        <v>0</v>
      </c>
      <c r="N40" s="646">
        <v>0</v>
      </c>
      <c r="O40" s="646">
        <v>0</v>
      </c>
      <c r="P40" s="646">
        <v>0</v>
      </c>
      <c r="Q40" s="646">
        <v>107953.16700000002</v>
      </c>
      <c r="R40" s="646">
        <v>0</v>
      </c>
      <c r="S40" s="646">
        <v>0</v>
      </c>
      <c r="T40" s="646">
        <f t="shared" si="0"/>
        <v>2558409.3780000005</v>
      </c>
    </row>
    <row r="41" spans="2:20" ht="18" customHeight="1" x14ac:dyDescent="0.25">
      <c r="B41" s="644">
        <v>35</v>
      </c>
      <c r="C41" s="645" t="s">
        <v>275</v>
      </c>
      <c r="D41" s="646">
        <v>0</v>
      </c>
      <c r="E41" s="646">
        <v>212090.802</v>
      </c>
      <c r="F41" s="646">
        <v>491562.29850000003</v>
      </c>
      <c r="G41" s="646">
        <v>297322.73550000007</v>
      </c>
      <c r="H41" s="646">
        <v>396430.31400000001</v>
      </c>
      <c r="I41" s="646">
        <v>50445.486000000004</v>
      </c>
      <c r="J41" s="646">
        <v>619422.63600000006</v>
      </c>
      <c r="K41" s="646">
        <v>198215.15700000001</v>
      </c>
      <c r="L41" s="646">
        <v>184966.78200000001</v>
      </c>
      <c r="M41" s="646">
        <v>0</v>
      </c>
      <c r="N41" s="646">
        <v>0</v>
      </c>
      <c r="O41" s="646">
        <v>0</v>
      </c>
      <c r="P41" s="646">
        <v>0</v>
      </c>
      <c r="Q41" s="646">
        <v>107953.16700000002</v>
      </c>
      <c r="R41" s="646">
        <v>0</v>
      </c>
      <c r="S41" s="646">
        <v>0</v>
      </c>
      <c r="T41" s="646">
        <f t="shared" si="0"/>
        <v>2558409.3780000005</v>
      </c>
    </row>
    <row r="42" spans="2:20" ht="18" customHeight="1" x14ac:dyDescent="0.25">
      <c r="B42" s="644">
        <v>36</v>
      </c>
      <c r="C42" s="645" t="s">
        <v>296</v>
      </c>
      <c r="D42" s="646">
        <v>161929.75050000002</v>
      </c>
      <c r="E42" s="646">
        <v>212090.802</v>
      </c>
      <c r="F42" s="646">
        <v>491562.29850000003</v>
      </c>
      <c r="G42" s="646">
        <v>297322.73550000007</v>
      </c>
      <c r="H42" s="646">
        <v>396430.31400000001</v>
      </c>
      <c r="I42" s="646">
        <v>50445.486000000004</v>
      </c>
      <c r="J42" s="646">
        <v>619422.63600000006</v>
      </c>
      <c r="K42" s="646">
        <v>198215.15700000001</v>
      </c>
      <c r="L42" s="646">
        <v>184966.78200000001</v>
      </c>
      <c r="M42" s="646">
        <v>2477690.5440000002</v>
      </c>
      <c r="N42" s="646">
        <v>4203789.4185000006</v>
      </c>
      <c r="O42" s="646">
        <v>694679.89500000002</v>
      </c>
      <c r="P42" s="646">
        <v>1189292.0234999999</v>
      </c>
      <c r="Q42" s="646">
        <v>107953.16700000002</v>
      </c>
      <c r="R42" s="646">
        <v>0</v>
      </c>
      <c r="S42" s="646">
        <v>504454.86</v>
      </c>
      <c r="T42" s="646">
        <f t="shared" si="0"/>
        <v>11790245.8695</v>
      </c>
    </row>
    <row r="43" spans="2:20" ht="18" customHeight="1" x14ac:dyDescent="0.25">
      <c r="B43" s="644">
        <v>37</v>
      </c>
      <c r="C43" s="645" t="s">
        <v>277</v>
      </c>
      <c r="D43" s="646">
        <v>161929.75050000002</v>
      </c>
      <c r="E43" s="646">
        <v>212090.802</v>
      </c>
      <c r="F43" s="646">
        <v>491562.29850000003</v>
      </c>
      <c r="G43" s="646">
        <v>297322.73550000007</v>
      </c>
      <c r="H43" s="646">
        <v>396430.31400000001</v>
      </c>
      <c r="I43" s="646">
        <v>50445.486000000004</v>
      </c>
      <c r="J43" s="646">
        <v>619422.63600000006</v>
      </c>
      <c r="K43" s="646">
        <v>198215.15700000001</v>
      </c>
      <c r="L43" s="646">
        <v>184966.78200000001</v>
      </c>
      <c r="M43" s="646">
        <v>2477690.5440000002</v>
      </c>
      <c r="N43" s="646">
        <v>4203789.4185000006</v>
      </c>
      <c r="O43" s="646">
        <v>694679.89500000002</v>
      </c>
      <c r="P43" s="646">
        <v>1189292.0234999999</v>
      </c>
      <c r="Q43" s="646">
        <v>107953.16700000002</v>
      </c>
      <c r="R43" s="646">
        <v>588530.67000000004</v>
      </c>
      <c r="S43" s="646">
        <v>504454.86</v>
      </c>
      <c r="T43" s="646">
        <f t="shared" si="0"/>
        <v>12378776.5395</v>
      </c>
    </row>
    <row r="44" spans="2:20" ht="18" customHeight="1" x14ac:dyDescent="0.25">
      <c r="B44" s="644">
        <v>38</v>
      </c>
      <c r="C44" s="645" t="s">
        <v>278</v>
      </c>
      <c r="D44" s="646">
        <v>161929.75050000002</v>
      </c>
      <c r="E44" s="646">
        <v>212090.802</v>
      </c>
      <c r="F44" s="646">
        <v>491562.29850000003</v>
      </c>
      <c r="G44" s="646">
        <v>297322.73550000007</v>
      </c>
      <c r="H44" s="646">
        <v>396430.31400000001</v>
      </c>
      <c r="I44" s="646">
        <v>50445.486000000004</v>
      </c>
      <c r="J44" s="646">
        <v>619422.63600000006</v>
      </c>
      <c r="K44" s="646">
        <v>198215.15700000001</v>
      </c>
      <c r="L44" s="646">
        <v>184966.78200000001</v>
      </c>
      <c r="M44" s="646">
        <v>2477690.5440000002</v>
      </c>
      <c r="N44" s="646">
        <v>4203789.4185000006</v>
      </c>
      <c r="O44" s="646">
        <v>694679.89500000002</v>
      </c>
      <c r="P44" s="646">
        <v>1189292.0234999999</v>
      </c>
      <c r="Q44" s="646">
        <v>107953.16700000002</v>
      </c>
      <c r="R44" s="646">
        <v>0</v>
      </c>
      <c r="S44" s="646">
        <v>504454.86</v>
      </c>
      <c r="T44" s="646">
        <f t="shared" si="0"/>
        <v>11790245.8695</v>
      </c>
    </row>
    <row r="45" spans="2:20" ht="18" customHeight="1" x14ac:dyDescent="0.25">
      <c r="B45" s="644">
        <v>39</v>
      </c>
      <c r="C45" s="647" t="s">
        <v>279</v>
      </c>
      <c r="D45" s="646">
        <v>0</v>
      </c>
      <c r="E45" s="646">
        <v>212090.802</v>
      </c>
      <c r="F45" s="646">
        <v>491562.29850000003</v>
      </c>
      <c r="G45" s="646">
        <v>297322.73550000007</v>
      </c>
      <c r="H45" s="646">
        <v>396430.31400000001</v>
      </c>
      <c r="I45" s="646">
        <v>50445.486000000004</v>
      </c>
      <c r="J45" s="646">
        <v>619422.63600000006</v>
      </c>
      <c r="K45" s="646">
        <v>198215.15700000001</v>
      </c>
      <c r="L45" s="646">
        <v>184966.78200000001</v>
      </c>
      <c r="M45" s="646">
        <v>0</v>
      </c>
      <c r="N45" s="646">
        <v>0</v>
      </c>
      <c r="O45" s="646">
        <v>0</v>
      </c>
      <c r="P45" s="646">
        <v>0</v>
      </c>
      <c r="Q45" s="646">
        <v>107953.16700000002</v>
      </c>
      <c r="R45" s="646">
        <v>0</v>
      </c>
      <c r="S45" s="646">
        <v>0</v>
      </c>
      <c r="T45" s="646">
        <f t="shared" si="0"/>
        <v>2558409.3780000005</v>
      </c>
    </row>
    <row r="46" spans="2:20" ht="18" customHeight="1" x14ac:dyDescent="0.25">
      <c r="B46" s="644">
        <v>40</v>
      </c>
      <c r="C46" s="645" t="s">
        <v>280</v>
      </c>
      <c r="D46" s="646">
        <v>0</v>
      </c>
      <c r="E46" s="646">
        <v>212090.802</v>
      </c>
      <c r="F46" s="646">
        <v>491562.29850000003</v>
      </c>
      <c r="G46" s="646">
        <v>0</v>
      </c>
      <c r="H46" s="646">
        <v>0</v>
      </c>
      <c r="I46" s="646">
        <v>0</v>
      </c>
      <c r="J46" s="646">
        <v>0</v>
      </c>
      <c r="K46" s="646">
        <v>0</v>
      </c>
      <c r="L46" s="646">
        <v>0</v>
      </c>
      <c r="M46" s="646">
        <v>0</v>
      </c>
      <c r="N46" s="646">
        <v>0</v>
      </c>
      <c r="O46" s="646">
        <v>0</v>
      </c>
      <c r="P46" s="646">
        <v>0</v>
      </c>
      <c r="Q46" s="646">
        <v>0</v>
      </c>
      <c r="R46" s="646">
        <v>0</v>
      </c>
      <c r="S46" s="646">
        <v>0</v>
      </c>
      <c r="T46" s="646">
        <f t="shared" si="0"/>
        <v>703653.10050000006</v>
      </c>
    </row>
    <row r="47" spans="2:20" ht="18" customHeight="1" x14ac:dyDescent="0.25">
      <c r="B47" s="1030" t="s">
        <v>297</v>
      </c>
      <c r="C47" s="1031"/>
      <c r="D47" s="648">
        <f t="shared" ref="D47:S47" si="1">SUM(D4:D46)</f>
        <v>971578.50300000026</v>
      </c>
      <c r="E47" s="648">
        <f t="shared" si="1"/>
        <v>8483632.0800000038</v>
      </c>
      <c r="F47" s="648">
        <f t="shared" si="1"/>
        <v>19662491.939999998</v>
      </c>
      <c r="G47" s="648">
        <f t="shared" si="1"/>
        <v>11595586.684500009</v>
      </c>
      <c r="H47" s="648">
        <f t="shared" si="1"/>
        <v>15460782.245999992</v>
      </c>
      <c r="I47" s="648">
        <f t="shared" si="1"/>
        <v>1967373.9540000011</v>
      </c>
      <c r="J47" s="648">
        <f t="shared" si="1"/>
        <v>24157482.804000001</v>
      </c>
      <c r="K47" s="648">
        <f t="shared" si="1"/>
        <v>7730391.1229999959</v>
      </c>
      <c r="L47" s="648">
        <f t="shared" si="1"/>
        <v>7213704.4979999959</v>
      </c>
      <c r="M47" s="648">
        <f t="shared" si="1"/>
        <v>14866143.264</v>
      </c>
      <c r="N47" s="648">
        <f t="shared" si="1"/>
        <v>25222736.511</v>
      </c>
      <c r="O47" s="648">
        <f t="shared" si="1"/>
        <v>4313961.8234999999</v>
      </c>
      <c r="P47" s="648">
        <f t="shared" si="1"/>
        <v>7135752.1409999998</v>
      </c>
      <c r="Q47" s="648">
        <f t="shared" si="1"/>
        <v>4102220.3459999976</v>
      </c>
      <c r="R47" s="648">
        <f t="shared" si="1"/>
        <v>1177061.3400000001</v>
      </c>
      <c r="S47" s="648">
        <f t="shared" si="1"/>
        <v>3026729.1599999997</v>
      </c>
      <c r="T47" s="648">
        <f t="shared" si="0"/>
        <v>157087628.41799998</v>
      </c>
    </row>
    <row r="48" spans="2:20" ht="18" customHeight="1" x14ac:dyDescent="0.25">
      <c r="B48" s="649"/>
      <c r="C48" s="650"/>
      <c r="D48" s="651"/>
      <c r="E48" s="651"/>
      <c r="F48" s="651"/>
      <c r="G48" s="651"/>
      <c r="H48" s="651"/>
      <c r="I48" s="651"/>
      <c r="J48" s="651"/>
      <c r="K48" s="651"/>
      <c r="L48" s="651"/>
      <c r="M48" s="651"/>
      <c r="N48" s="651"/>
      <c r="O48" s="651"/>
      <c r="P48" s="1025" t="s">
        <v>282</v>
      </c>
      <c r="Q48" s="1026"/>
      <c r="R48" s="1026"/>
      <c r="S48" s="1027"/>
      <c r="T48" s="648">
        <f>T47*0.16</f>
        <v>25134020.546879999</v>
      </c>
    </row>
    <row r="49" spans="2:20" ht="18" customHeight="1" x14ac:dyDescent="0.25">
      <c r="B49" s="649"/>
      <c r="C49" s="650"/>
      <c r="D49" s="651"/>
      <c r="E49" s="651"/>
      <c r="F49" s="651"/>
      <c r="G49" s="651"/>
      <c r="H49" s="651"/>
      <c r="I49" s="651"/>
      <c r="J49" s="651"/>
      <c r="K49" s="651"/>
      <c r="L49" s="651"/>
      <c r="M49" s="651"/>
      <c r="N49" s="651"/>
      <c r="O49" s="651"/>
      <c r="P49" s="1025" t="s">
        <v>161</v>
      </c>
      <c r="Q49" s="1026"/>
      <c r="R49" s="1026"/>
      <c r="S49" s="1027"/>
      <c r="T49" s="648">
        <f>SUM(T47:T48)</f>
        <v>182221648.96487999</v>
      </c>
    </row>
    <row r="50" spans="2:20" ht="18" customHeight="1" x14ac:dyDescent="0.25">
      <c r="B50" s="649"/>
      <c r="C50" s="650"/>
      <c r="D50" s="651"/>
      <c r="E50" s="651"/>
      <c r="F50" s="651"/>
      <c r="G50" s="651"/>
      <c r="H50" s="651"/>
      <c r="I50" s="651"/>
      <c r="J50" s="651"/>
      <c r="K50" s="651"/>
      <c r="L50" s="651"/>
      <c r="M50" s="651"/>
      <c r="N50" s="651"/>
      <c r="O50" s="651"/>
      <c r="P50" s="1025" t="s">
        <v>666</v>
      </c>
      <c r="Q50" s="1026"/>
      <c r="R50" s="1026"/>
      <c r="S50" s="1027"/>
      <c r="T50" s="648">
        <f>T49*0.3</f>
        <v>54666494.689463995</v>
      </c>
    </row>
  </sheetData>
  <mergeCells count="6">
    <mergeCell ref="P50:S50"/>
    <mergeCell ref="B1:T1"/>
    <mergeCell ref="B2:T2"/>
    <mergeCell ref="B47:C47"/>
    <mergeCell ref="P48:S48"/>
    <mergeCell ref="P49:S49"/>
  </mergeCells>
  <printOptions horizontalCentered="1" verticalCentered="1"/>
  <pageMargins left="0.7" right="0.7" top="0.75" bottom="0.75" header="0.3" footer="0.3"/>
  <pageSetup paperSize="5" scale="70" orientation="landscape" r:id="rId1"/>
  <headerFooter>
    <oddFooter xml:space="preserve">&amp;C
</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N51"/>
  <sheetViews>
    <sheetView view="pageLayout" topLeftCell="B7" zoomScaleNormal="100" workbookViewId="0">
      <selection activeCell="B3" sqref="B3:N51"/>
    </sheetView>
  </sheetViews>
  <sheetFormatPr baseColWidth="10" defaultRowHeight="15" x14ac:dyDescent="0.25"/>
  <cols>
    <col min="1" max="1" width="8.42578125" style="145" customWidth="1"/>
    <col min="2" max="2" width="4.42578125" style="163" customWidth="1"/>
    <col min="3" max="3" width="23.28515625" style="145" customWidth="1"/>
    <col min="4" max="4" width="11.140625" style="145" customWidth="1"/>
    <col min="5" max="5" width="12.42578125" style="145" customWidth="1"/>
    <col min="6" max="6" width="11.5703125" style="145" customWidth="1"/>
    <col min="7" max="7" width="11.28515625" style="145" customWidth="1"/>
    <col min="8" max="8" width="11.140625" style="145" customWidth="1"/>
    <col min="9" max="9" width="11.7109375" style="145" customWidth="1"/>
    <col min="10" max="10" width="11.42578125" style="145" customWidth="1"/>
    <col min="11" max="11" width="11" style="145" customWidth="1"/>
    <col min="12" max="12" width="11.42578125" style="145" customWidth="1"/>
    <col min="13" max="13" width="12.42578125" style="145" customWidth="1"/>
    <col min="14" max="14" width="12.5703125" style="145" customWidth="1"/>
    <col min="15" max="16384" width="11.42578125" style="145"/>
  </cols>
  <sheetData>
    <row r="3" spans="2:14" x14ac:dyDescent="0.25">
      <c r="B3" s="1032" t="s">
        <v>1417</v>
      </c>
      <c r="C3" s="1032"/>
      <c r="D3" s="1032"/>
      <c r="E3" s="1032"/>
      <c r="F3" s="1032"/>
      <c r="G3" s="1032"/>
      <c r="H3" s="1032"/>
      <c r="I3" s="1032"/>
      <c r="J3" s="1032"/>
      <c r="K3" s="1032"/>
      <c r="L3" s="1032"/>
      <c r="M3" s="1032"/>
      <c r="N3" s="1032"/>
    </row>
    <row r="4" spans="2:14" s="215" customFormat="1" ht="124.5" customHeight="1" x14ac:dyDescent="0.25">
      <c r="B4" s="737" t="s">
        <v>346</v>
      </c>
      <c r="C4" s="740" t="s">
        <v>287</v>
      </c>
      <c r="D4" s="741" t="s">
        <v>602</v>
      </c>
      <c r="E4" s="741" t="s">
        <v>603</v>
      </c>
      <c r="F4" s="741" t="s">
        <v>288</v>
      </c>
      <c r="G4" s="741" t="s">
        <v>604</v>
      </c>
      <c r="H4" s="741" t="s">
        <v>605</v>
      </c>
      <c r="I4" s="741" t="s">
        <v>606</v>
      </c>
      <c r="J4" s="741" t="s">
        <v>607</v>
      </c>
      <c r="K4" s="741" t="s">
        <v>608</v>
      </c>
      <c r="L4" s="741" t="s">
        <v>609</v>
      </c>
      <c r="M4" s="741" t="s">
        <v>610</v>
      </c>
      <c r="N4" s="740" t="s">
        <v>611</v>
      </c>
    </row>
    <row r="5" spans="2:14" ht="19.7" customHeight="1" x14ac:dyDescent="0.25">
      <c r="B5" s="230">
        <v>1</v>
      </c>
      <c r="C5" s="254" t="s">
        <v>241</v>
      </c>
      <c r="D5" s="219">
        <v>300000</v>
      </c>
      <c r="E5" s="219">
        <v>0</v>
      </c>
      <c r="F5" s="219">
        <v>140000</v>
      </c>
      <c r="G5" s="219">
        <v>10400000</v>
      </c>
      <c r="H5" s="219">
        <v>6500000</v>
      </c>
      <c r="I5" s="219">
        <v>0</v>
      </c>
      <c r="J5" s="219">
        <v>520000</v>
      </c>
      <c r="K5" s="219">
        <v>0</v>
      </c>
      <c r="L5" s="219">
        <v>0</v>
      </c>
      <c r="M5" s="219">
        <v>13333505</v>
      </c>
      <c r="N5" s="219">
        <f>SUM(D5:M5)</f>
        <v>31193505</v>
      </c>
    </row>
    <row r="6" spans="2:14" ht="19.7" customHeight="1" x14ac:dyDescent="0.25">
      <c r="B6" s="230">
        <v>2</v>
      </c>
      <c r="C6" s="254" t="s">
        <v>242</v>
      </c>
      <c r="D6" s="219">
        <v>1500000</v>
      </c>
      <c r="E6" s="219">
        <v>2240000</v>
      </c>
      <c r="F6" s="219">
        <v>2240000</v>
      </c>
      <c r="G6" s="219">
        <v>19500000</v>
      </c>
      <c r="H6" s="219">
        <v>15000000</v>
      </c>
      <c r="I6" s="219">
        <v>10400000</v>
      </c>
      <c r="J6" s="219">
        <v>16000000</v>
      </c>
      <c r="K6" s="219">
        <v>10400000</v>
      </c>
      <c r="L6" s="219">
        <v>17777406.150000002</v>
      </c>
      <c r="M6" s="219">
        <v>26666109.75</v>
      </c>
      <c r="N6" s="219">
        <f t="shared" ref="N6:N47" si="0">SUM(D6:M6)</f>
        <v>121723515.90000001</v>
      </c>
    </row>
    <row r="7" spans="2:14" ht="19.7" customHeight="1" x14ac:dyDescent="0.25">
      <c r="B7" s="230">
        <v>4</v>
      </c>
      <c r="C7" s="254" t="s">
        <v>244</v>
      </c>
      <c r="D7" s="219">
        <v>300000</v>
      </c>
      <c r="E7" s="219">
        <v>0</v>
      </c>
      <c r="F7" s="219">
        <v>140000</v>
      </c>
      <c r="G7" s="219">
        <v>10400000</v>
      </c>
      <c r="H7" s="219">
        <v>6500000</v>
      </c>
      <c r="I7" s="219">
        <v>0</v>
      </c>
      <c r="J7" s="219">
        <v>520000</v>
      </c>
      <c r="K7" s="219">
        <v>0</v>
      </c>
      <c r="L7" s="219">
        <v>0</v>
      </c>
      <c r="M7" s="219">
        <v>13333505</v>
      </c>
      <c r="N7" s="219">
        <f t="shared" si="0"/>
        <v>31193505</v>
      </c>
    </row>
    <row r="8" spans="2:14" ht="19.7" customHeight="1" x14ac:dyDescent="0.25">
      <c r="B8" s="230">
        <v>5</v>
      </c>
      <c r="C8" s="254" t="s">
        <v>245</v>
      </c>
      <c r="D8" s="219">
        <v>300000</v>
      </c>
      <c r="E8" s="219">
        <v>0</v>
      </c>
      <c r="F8" s="219">
        <v>140000</v>
      </c>
      <c r="G8" s="219">
        <v>10400000</v>
      </c>
      <c r="H8" s="219">
        <v>6500000</v>
      </c>
      <c r="I8" s="219">
        <v>0</v>
      </c>
      <c r="J8" s="219">
        <v>520000</v>
      </c>
      <c r="K8" s="219">
        <v>0</v>
      </c>
      <c r="L8" s="219">
        <v>0</v>
      </c>
      <c r="M8" s="219">
        <v>13333505</v>
      </c>
      <c r="N8" s="219">
        <f t="shared" si="0"/>
        <v>31193505</v>
      </c>
    </row>
    <row r="9" spans="2:14" ht="19.7" customHeight="1" x14ac:dyDescent="0.25">
      <c r="B9" s="230">
        <v>6</v>
      </c>
      <c r="C9" s="254" t="s">
        <v>246</v>
      </c>
      <c r="D9" s="219">
        <v>300000</v>
      </c>
      <c r="E9" s="219">
        <v>140000</v>
      </c>
      <c r="F9" s="219">
        <v>140000</v>
      </c>
      <c r="G9" s="219">
        <v>10400000</v>
      </c>
      <c r="H9" s="219">
        <v>6500000</v>
      </c>
      <c r="I9" s="219">
        <v>0</v>
      </c>
      <c r="J9" s="219">
        <v>520000</v>
      </c>
      <c r="K9" s="219">
        <v>0</v>
      </c>
      <c r="L9" s="219">
        <v>0</v>
      </c>
      <c r="M9" s="219">
        <v>13333505</v>
      </c>
      <c r="N9" s="219">
        <f t="shared" si="0"/>
        <v>31333505</v>
      </c>
    </row>
    <row r="10" spans="2:14" ht="19.7" customHeight="1" x14ac:dyDescent="0.25">
      <c r="B10" s="230">
        <v>7</v>
      </c>
      <c r="C10" s="254" t="s">
        <v>526</v>
      </c>
      <c r="D10" s="219">
        <v>300000</v>
      </c>
      <c r="E10" s="219">
        <v>0</v>
      </c>
      <c r="F10" s="219">
        <v>140000</v>
      </c>
      <c r="G10" s="219">
        <v>10400000</v>
      </c>
      <c r="H10" s="219">
        <v>6500000</v>
      </c>
      <c r="I10" s="219">
        <v>0</v>
      </c>
      <c r="J10" s="219">
        <v>520000</v>
      </c>
      <c r="K10" s="219">
        <v>0</v>
      </c>
      <c r="L10" s="219">
        <v>0</v>
      </c>
      <c r="M10" s="219">
        <v>13333505</v>
      </c>
      <c r="N10" s="219">
        <f t="shared" si="0"/>
        <v>31193505</v>
      </c>
    </row>
    <row r="11" spans="2:14" ht="19.7" customHeight="1" x14ac:dyDescent="0.25">
      <c r="B11" s="230">
        <v>8</v>
      </c>
      <c r="C11" s="254" t="s">
        <v>248</v>
      </c>
      <c r="D11" s="219">
        <v>300000</v>
      </c>
      <c r="E11" s="219">
        <v>0</v>
      </c>
      <c r="F11" s="219">
        <v>140000</v>
      </c>
      <c r="G11" s="219">
        <v>10400000</v>
      </c>
      <c r="H11" s="219">
        <v>6500000</v>
      </c>
      <c r="I11" s="219">
        <v>0</v>
      </c>
      <c r="J11" s="219">
        <v>520000</v>
      </c>
      <c r="K11" s="219">
        <v>0</v>
      </c>
      <c r="L11" s="219">
        <v>0</v>
      </c>
      <c r="M11" s="219">
        <v>13333505</v>
      </c>
      <c r="N11" s="219">
        <f t="shared" si="0"/>
        <v>31193505</v>
      </c>
    </row>
    <row r="12" spans="2:14" ht="19.7" customHeight="1" x14ac:dyDescent="0.25">
      <c r="B12" s="230">
        <v>9</v>
      </c>
      <c r="C12" s="258" t="s">
        <v>249</v>
      </c>
      <c r="D12" s="219">
        <v>300000</v>
      </c>
      <c r="E12" s="219">
        <v>0</v>
      </c>
      <c r="F12" s="219">
        <v>140000</v>
      </c>
      <c r="G12" s="219">
        <v>10400000</v>
      </c>
      <c r="H12" s="219">
        <v>6500000</v>
      </c>
      <c r="I12" s="219">
        <v>0</v>
      </c>
      <c r="J12" s="219">
        <v>520000</v>
      </c>
      <c r="K12" s="219">
        <v>0</v>
      </c>
      <c r="L12" s="219">
        <v>0</v>
      </c>
      <c r="M12" s="219">
        <v>13333505</v>
      </c>
      <c r="N12" s="219">
        <f t="shared" si="0"/>
        <v>31193505</v>
      </c>
    </row>
    <row r="13" spans="2:14" ht="19.7" customHeight="1" x14ac:dyDescent="0.25">
      <c r="B13" s="230">
        <v>10</v>
      </c>
      <c r="C13" s="254" t="s">
        <v>250</v>
      </c>
      <c r="D13" s="219">
        <v>300000</v>
      </c>
      <c r="E13" s="219">
        <v>140000</v>
      </c>
      <c r="F13" s="219">
        <v>140000</v>
      </c>
      <c r="G13" s="219">
        <v>10400000</v>
      </c>
      <c r="H13" s="219">
        <v>6500000</v>
      </c>
      <c r="I13" s="219">
        <v>0</v>
      </c>
      <c r="J13" s="219">
        <v>520000</v>
      </c>
      <c r="K13" s="219">
        <v>0</v>
      </c>
      <c r="L13" s="219">
        <v>0</v>
      </c>
      <c r="M13" s="219">
        <v>13333505</v>
      </c>
      <c r="N13" s="219">
        <f t="shared" si="0"/>
        <v>31333505</v>
      </c>
    </row>
    <row r="14" spans="2:14" ht="19.7" customHeight="1" x14ac:dyDescent="0.25">
      <c r="B14" s="230">
        <v>11</v>
      </c>
      <c r="C14" s="254" t="s">
        <v>251</v>
      </c>
      <c r="D14" s="219">
        <v>300000</v>
      </c>
      <c r="E14" s="219">
        <v>140000</v>
      </c>
      <c r="F14" s="219">
        <v>140000</v>
      </c>
      <c r="G14" s="219">
        <v>10400000</v>
      </c>
      <c r="H14" s="219">
        <v>6500000</v>
      </c>
      <c r="I14" s="219">
        <v>0</v>
      </c>
      <c r="J14" s="219">
        <v>520000</v>
      </c>
      <c r="K14" s="219">
        <v>0</v>
      </c>
      <c r="L14" s="219">
        <v>0</v>
      </c>
      <c r="M14" s="219">
        <v>13333505</v>
      </c>
      <c r="N14" s="219">
        <f t="shared" si="0"/>
        <v>31333505</v>
      </c>
    </row>
    <row r="15" spans="2:14" ht="19.7" customHeight="1" x14ac:dyDescent="0.25">
      <c r="B15" s="230">
        <v>12</v>
      </c>
      <c r="C15" s="254" t="s">
        <v>252</v>
      </c>
      <c r="D15" s="219">
        <v>300000</v>
      </c>
      <c r="E15" s="219">
        <v>140000</v>
      </c>
      <c r="F15" s="219">
        <v>140000</v>
      </c>
      <c r="G15" s="219">
        <v>10400000</v>
      </c>
      <c r="H15" s="219">
        <v>6500000</v>
      </c>
      <c r="I15" s="219">
        <v>0</v>
      </c>
      <c r="J15" s="219">
        <v>520000</v>
      </c>
      <c r="K15" s="219">
        <v>0</v>
      </c>
      <c r="L15" s="219">
        <v>0</v>
      </c>
      <c r="M15" s="219">
        <v>13333505</v>
      </c>
      <c r="N15" s="219">
        <f t="shared" si="0"/>
        <v>31333505</v>
      </c>
    </row>
    <row r="16" spans="2:14" ht="19.7" customHeight="1" x14ac:dyDescent="0.25">
      <c r="B16" s="230">
        <v>13</v>
      </c>
      <c r="C16" s="254" t="s">
        <v>253</v>
      </c>
      <c r="D16" s="219">
        <v>300000</v>
      </c>
      <c r="E16" s="219">
        <v>0</v>
      </c>
      <c r="F16" s="219">
        <v>140000</v>
      </c>
      <c r="G16" s="219">
        <v>10400000</v>
      </c>
      <c r="H16" s="219">
        <v>6500000</v>
      </c>
      <c r="I16" s="219">
        <v>0</v>
      </c>
      <c r="J16" s="219">
        <v>520000</v>
      </c>
      <c r="K16" s="219">
        <v>0</v>
      </c>
      <c r="L16" s="219">
        <v>0</v>
      </c>
      <c r="M16" s="219">
        <v>13333505</v>
      </c>
      <c r="N16" s="219">
        <f t="shared" si="0"/>
        <v>31193505</v>
      </c>
    </row>
    <row r="17" spans="2:14" ht="19.7" customHeight="1" x14ac:dyDescent="0.25">
      <c r="B17" s="230">
        <v>14</v>
      </c>
      <c r="C17" s="258" t="s">
        <v>254</v>
      </c>
      <c r="D17" s="219">
        <v>300000</v>
      </c>
      <c r="E17" s="219">
        <v>0</v>
      </c>
      <c r="F17" s="219">
        <v>140000</v>
      </c>
      <c r="G17" s="219">
        <v>10400000</v>
      </c>
      <c r="H17" s="219">
        <v>6500000</v>
      </c>
      <c r="I17" s="219">
        <v>0</v>
      </c>
      <c r="J17" s="219">
        <v>520000</v>
      </c>
      <c r="K17" s="219">
        <v>0</v>
      </c>
      <c r="L17" s="219">
        <v>0</v>
      </c>
      <c r="M17" s="219">
        <v>13333505</v>
      </c>
      <c r="N17" s="219">
        <f t="shared" si="0"/>
        <v>31193505</v>
      </c>
    </row>
    <row r="18" spans="2:14" ht="19.7" customHeight="1" x14ac:dyDescent="0.25">
      <c r="B18" s="230">
        <v>15</v>
      </c>
      <c r="C18" s="254" t="s">
        <v>255</v>
      </c>
      <c r="D18" s="219">
        <v>300000</v>
      </c>
      <c r="E18" s="219">
        <v>140000</v>
      </c>
      <c r="F18" s="219">
        <v>140000</v>
      </c>
      <c r="G18" s="219">
        <v>10400000</v>
      </c>
      <c r="H18" s="219">
        <v>6500000</v>
      </c>
      <c r="I18" s="219">
        <v>0</v>
      </c>
      <c r="J18" s="219">
        <v>520000</v>
      </c>
      <c r="K18" s="219">
        <v>0</v>
      </c>
      <c r="L18" s="219">
        <v>0</v>
      </c>
      <c r="M18" s="219">
        <v>13333505</v>
      </c>
      <c r="N18" s="219">
        <f t="shared" si="0"/>
        <v>31333505</v>
      </c>
    </row>
    <row r="19" spans="2:14" ht="19.7" customHeight="1" x14ac:dyDescent="0.25">
      <c r="B19" s="230">
        <v>16</v>
      </c>
      <c r="C19" s="254" t="s">
        <v>256</v>
      </c>
      <c r="D19" s="219">
        <v>300000</v>
      </c>
      <c r="E19" s="219">
        <v>0</v>
      </c>
      <c r="F19" s="219">
        <v>140000</v>
      </c>
      <c r="G19" s="219">
        <v>10400000</v>
      </c>
      <c r="H19" s="219">
        <v>6500000</v>
      </c>
      <c r="I19" s="219">
        <v>0</v>
      </c>
      <c r="J19" s="219">
        <v>520000</v>
      </c>
      <c r="K19" s="219">
        <v>0</v>
      </c>
      <c r="L19" s="219">
        <v>0</v>
      </c>
      <c r="M19" s="219">
        <v>13333505</v>
      </c>
      <c r="N19" s="219">
        <f t="shared" si="0"/>
        <v>31193505</v>
      </c>
    </row>
    <row r="20" spans="2:14" ht="19.7" customHeight="1" x14ac:dyDescent="0.25">
      <c r="B20" s="230">
        <v>17</v>
      </c>
      <c r="C20" s="254" t="s">
        <v>257</v>
      </c>
      <c r="D20" s="219">
        <v>300000</v>
      </c>
      <c r="E20" s="219">
        <v>0</v>
      </c>
      <c r="F20" s="219">
        <v>140000</v>
      </c>
      <c r="G20" s="219">
        <v>10400000</v>
      </c>
      <c r="H20" s="219">
        <v>6500000</v>
      </c>
      <c r="I20" s="219">
        <v>0</v>
      </c>
      <c r="J20" s="219">
        <v>520000</v>
      </c>
      <c r="K20" s="219">
        <v>0</v>
      </c>
      <c r="L20" s="219">
        <v>0</v>
      </c>
      <c r="M20" s="219">
        <v>13333505</v>
      </c>
      <c r="N20" s="219">
        <f t="shared" si="0"/>
        <v>31193505</v>
      </c>
    </row>
    <row r="21" spans="2:14" ht="19.7" customHeight="1" x14ac:dyDescent="0.25">
      <c r="B21" s="230">
        <v>18</v>
      </c>
      <c r="C21" s="254" t="s">
        <v>258</v>
      </c>
      <c r="D21" s="219">
        <v>300000</v>
      </c>
      <c r="E21" s="219">
        <v>0</v>
      </c>
      <c r="F21" s="219">
        <v>140000</v>
      </c>
      <c r="G21" s="219">
        <v>10400000</v>
      </c>
      <c r="H21" s="219">
        <v>6500000</v>
      </c>
      <c r="I21" s="219">
        <v>0</v>
      </c>
      <c r="J21" s="219">
        <v>520000</v>
      </c>
      <c r="K21" s="219">
        <v>0</v>
      </c>
      <c r="L21" s="219">
        <v>0</v>
      </c>
      <c r="M21" s="219">
        <v>13333505</v>
      </c>
      <c r="N21" s="219">
        <f t="shared" si="0"/>
        <v>31193505</v>
      </c>
    </row>
    <row r="22" spans="2:14" ht="19.7" customHeight="1" x14ac:dyDescent="0.25">
      <c r="B22" s="230">
        <v>19</v>
      </c>
      <c r="C22" s="254" t="s">
        <v>259</v>
      </c>
      <c r="D22" s="219">
        <v>1500000</v>
      </c>
      <c r="E22" s="219">
        <v>2240000</v>
      </c>
      <c r="F22" s="219">
        <v>2240000</v>
      </c>
      <c r="G22" s="219">
        <v>19500000</v>
      </c>
      <c r="H22" s="219">
        <v>15000000</v>
      </c>
      <c r="I22" s="219">
        <v>10400000</v>
      </c>
      <c r="J22" s="219">
        <v>16000000</v>
      </c>
      <c r="K22" s="219">
        <v>10400000</v>
      </c>
      <c r="L22" s="219">
        <v>17777406.150000002</v>
      </c>
      <c r="M22" s="219">
        <v>26666109.75</v>
      </c>
      <c r="N22" s="219">
        <f t="shared" si="0"/>
        <v>121723515.90000001</v>
      </c>
    </row>
    <row r="23" spans="2:14" ht="19.7" customHeight="1" x14ac:dyDescent="0.25">
      <c r="B23" s="282"/>
      <c r="C23" s="631"/>
      <c r="D23" s="633"/>
      <c r="E23" s="633"/>
      <c r="F23" s="633"/>
      <c r="G23" s="633"/>
      <c r="H23" s="633"/>
      <c r="I23" s="633"/>
      <c r="J23" s="633"/>
      <c r="K23" s="633"/>
      <c r="L23" s="633"/>
      <c r="M23" s="633"/>
      <c r="N23" s="633"/>
    </row>
    <row r="24" spans="2:14" ht="19.7" customHeight="1" x14ac:dyDescent="0.25">
      <c r="B24" s="743"/>
      <c r="C24" s="634"/>
      <c r="D24" s="636"/>
      <c r="E24" s="636"/>
      <c r="F24" s="636"/>
      <c r="G24" s="636"/>
      <c r="H24" s="636"/>
      <c r="I24" s="636"/>
      <c r="J24" s="636"/>
      <c r="K24" s="636"/>
      <c r="L24" s="636"/>
      <c r="M24" s="636"/>
      <c r="N24" s="636"/>
    </row>
    <row r="25" spans="2:14" ht="19.7" customHeight="1" x14ac:dyDescent="0.25">
      <c r="B25" s="743"/>
      <c r="C25" s="634"/>
      <c r="D25" s="636"/>
      <c r="E25" s="636"/>
      <c r="F25" s="636"/>
      <c r="G25" s="636"/>
      <c r="H25" s="636"/>
      <c r="I25" s="636"/>
      <c r="J25" s="636"/>
      <c r="K25" s="636"/>
      <c r="L25" s="636"/>
      <c r="M25" s="636"/>
      <c r="N25" s="636"/>
    </row>
    <row r="26" spans="2:14" ht="19.7" customHeight="1" x14ac:dyDescent="0.25">
      <c r="B26" s="743"/>
      <c r="C26" s="634"/>
      <c r="D26" s="636"/>
      <c r="E26" s="636"/>
      <c r="F26" s="636"/>
      <c r="G26" s="636"/>
      <c r="H26" s="636"/>
      <c r="I26" s="636"/>
      <c r="J26" s="636"/>
      <c r="K26" s="636"/>
      <c r="L26" s="636"/>
      <c r="M26" s="636"/>
      <c r="N26" s="636"/>
    </row>
    <row r="27" spans="2:14" ht="19.7" customHeight="1" x14ac:dyDescent="0.25">
      <c r="B27" s="230">
        <v>20</v>
      </c>
      <c r="C27" s="254" t="s">
        <v>260</v>
      </c>
      <c r="D27" s="219">
        <v>300000</v>
      </c>
      <c r="E27" s="219">
        <v>0</v>
      </c>
      <c r="F27" s="219">
        <v>140000</v>
      </c>
      <c r="G27" s="219">
        <v>10400000</v>
      </c>
      <c r="H27" s="219">
        <v>6500000</v>
      </c>
      <c r="I27" s="219">
        <v>0</v>
      </c>
      <c r="J27" s="219">
        <v>520000</v>
      </c>
      <c r="K27" s="219">
        <v>0</v>
      </c>
      <c r="L27" s="219">
        <v>0</v>
      </c>
      <c r="M27" s="219">
        <v>13333505</v>
      </c>
      <c r="N27" s="219">
        <f t="shared" si="0"/>
        <v>31193505</v>
      </c>
    </row>
    <row r="28" spans="2:14" ht="19.7" customHeight="1" x14ac:dyDescent="0.25">
      <c r="B28" s="230">
        <v>21</v>
      </c>
      <c r="C28" s="254" t="s">
        <v>261</v>
      </c>
      <c r="D28" s="219">
        <v>300000</v>
      </c>
      <c r="E28" s="219">
        <v>140000</v>
      </c>
      <c r="F28" s="219">
        <v>140000</v>
      </c>
      <c r="G28" s="219">
        <v>10400000</v>
      </c>
      <c r="H28" s="219">
        <v>6500000</v>
      </c>
      <c r="I28" s="219">
        <v>0</v>
      </c>
      <c r="J28" s="219">
        <v>520000</v>
      </c>
      <c r="K28" s="219">
        <v>0</v>
      </c>
      <c r="L28" s="219">
        <v>0</v>
      </c>
      <c r="M28" s="219">
        <v>13333505</v>
      </c>
      <c r="N28" s="219">
        <f t="shared" si="0"/>
        <v>31333505</v>
      </c>
    </row>
    <row r="29" spans="2:14" ht="19.7" customHeight="1" x14ac:dyDescent="0.25">
      <c r="B29" s="230">
        <v>22</v>
      </c>
      <c r="C29" s="254" t="s">
        <v>262</v>
      </c>
      <c r="D29" s="219">
        <v>300000</v>
      </c>
      <c r="E29" s="219">
        <v>140000</v>
      </c>
      <c r="F29" s="219">
        <v>140000</v>
      </c>
      <c r="G29" s="219">
        <v>10400000</v>
      </c>
      <c r="H29" s="219">
        <v>6500000</v>
      </c>
      <c r="I29" s="219">
        <v>0</v>
      </c>
      <c r="J29" s="219">
        <v>520000</v>
      </c>
      <c r="K29" s="219">
        <v>0</v>
      </c>
      <c r="L29" s="219">
        <v>0</v>
      </c>
      <c r="M29" s="219">
        <v>13333505</v>
      </c>
      <c r="N29" s="219">
        <f t="shared" si="0"/>
        <v>31333505</v>
      </c>
    </row>
    <row r="30" spans="2:14" ht="19.7" customHeight="1" x14ac:dyDescent="0.25">
      <c r="B30" s="230">
        <v>23</v>
      </c>
      <c r="C30" s="254" t="s">
        <v>263</v>
      </c>
      <c r="D30" s="219">
        <v>300000</v>
      </c>
      <c r="E30" s="219">
        <v>0</v>
      </c>
      <c r="F30" s="219">
        <v>140000</v>
      </c>
      <c r="G30" s="219">
        <v>10400000</v>
      </c>
      <c r="H30" s="219">
        <v>6500000</v>
      </c>
      <c r="I30" s="219">
        <v>0</v>
      </c>
      <c r="J30" s="219">
        <v>520000</v>
      </c>
      <c r="K30" s="219">
        <v>0</v>
      </c>
      <c r="L30" s="219">
        <v>0</v>
      </c>
      <c r="M30" s="219">
        <v>13333505</v>
      </c>
      <c r="N30" s="219">
        <f t="shared" si="0"/>
        <v>31193505</v>
      </c>
    </row>
    <row r="31" spans="2:14" ht="19.7" customHeight="1" x14ac:dyDescent="0.25">
      <c r="B31" s="230">
        <v>24</v>
      </c>
      <c r="C31" s="254" t="s">
        <v>264</v>
      </c>
      <c r="D31" s="219">
        <v>300000</v>
      </c>
      <c r="E31" s="219">
        <v>0</v>
      </c>
      <c r="F31" s="219">
        <v>140000</v>
      </c>
      <c r="G31" s="219">
        <v>10400000</v>
      </c>
      <c r="H31" s="219">
        <v>6500000</v>
      </c>
      <c r="I31" s="219">
        <v>0</v>
      </c>
      <c r="J31" s="219">
        <v>520000</v>
      </c>
      <c r="K31" s="219">
        <v>0</v>
      </c>
      <c r="L31" s="219">
        <v>0</v>
      </c>
      <c r="M31" s="219">
        <v>13333505</v>
      </c>
      <c r="N31" s="219">
        <f t="shared" si="0"/>
        <v>31193505</v>
      </c>
    </row>
    <row r="32" spans="2:14" ht="19.7" customHeight="1" x14ac:dyDescent="0.25">
      <c r="B32" s="230">
        <v>25</v>
      </c>
      <c r="C32" s="254" t="s">
        <v>265</v>
      </c>
      <c r="D32" s="219">
        <v>300000</v>
      </c>
      <c r="E32" s="219">
        <v>2240000</v>
      </c>
      <c r="F32" s="219">
        <v>140000</v>
      </c>
      <c r="G32" s="219">
        <v>19500000</v>
      </c>
      <c r="H32" s="219">
        <v>15000000</v>
      </c>
      <c r="I32" s="219">
        <v>20800000</v>
      </c>
      <c r="J32" s="219">
        <v>16000000</v>
      </c>
      <c r="K32" s="219">
        <v>10400000</v>
      </c>
      <c r="L32" s="219">
        <v>17777406.150000002</v>
      </c>
      <c r="M32" s="219">
        <v>26666109.75</v>
      </c>
      <c r="N32" s="219">
        <f t="shared" si="0"/>
        <v>128823515.90000001</v>
      </c>
    </row>
    <row r="33" spans="2:14" ht="19.7" customHeight="1" x14ac:dyDescent="0.25">
      <c r="B33" s="230">
        <v>26</v>
      </c>
      <c r="C33" s="254" t="s">
        <v>266</v>
      </c>
      <c r="D33" s="219">
        <v>300000</v>
      </c>
      <c r="E33" s="219">
        <v>140000</v>
      </c>
      <c r="F33" s="219">
        <v>140000</v>
      </c>
      <c r="G33" s="219">
        <v>10400000</v>
      </c>
      <c r="H33" s="219">
        <v>6500000</v>
      </c>
      <c r="I33" s="219">
        <v>0</v>
      </c>
      <c r="J33" s="219">
        <v>520000</v>
      </c>
      <c r="K33" s="219">
        <v>0</v>
      </c>
      <c r="L33" s="219">
        <v>0</v>
      </c>
      <c r="M33" s="219">
        <v>13333505</v>
      </c>
      <c r="N33" s="219">
        <f t="shared" si="0"/>
        <v>31333505</v>
      </c>
    </row>
    <row r="34" spans="2:14" ht="19.7" customHeight="1" x14ac:dyDescent="0.25">
      <c r="B34" s="230">
        <v>27</v>
      </c>
      <c r="C34" s="254" t="s">
        <v>267</v>
      </c>
      <c r="D34" s="219">
        <v>300000</v>
      </c>
      <c r="E34" s="219">
        <v>140000</v>
      </c>
      <c r="F34" s="219">
        <v>140000</v>
      </c>
      <c r="G34" s="219">
        <v>10400000</v>
      </c>
      <c r="H34" s="219">
        <v>6500000</v>
      </c>
      <c r="I34" s="219">
        <v>0</v>
      </c>
      <c r="J34" s="219">
        <v>520000</v>
      </c>
      <c r="K34" s="219">
        <v>0</v>
      </c>
      <c r="L34" s="219">
        <v>0</v>
      </c>
      <c r="M34" s="219">
        <v>13333505</v>
      </c>
      <c r="N34" s="219">
        <f t="shared" si="0"/>
        <v>31333505</v>
      </c>
    </row>
    <row r="35" spans="2:14" ht="19.7" customHeight="1" x14ac:dyDescent="0.25">
      <c r="B35" s="230">
        <v>28</v>
      </c>
      <c r="C35" s="254" t="s">
        <v>268</v>
      </c>
      <c r="D35" s="219">
        <v>300000</v>
      </c>
      <c r="E35" s="219">
        <v>0</v>
      </c>
      <c r="F35" s="219">
        <v>140000</v>
      </c>
      <c r="G35" s="219">
        <v>10400000</v>
      </c>
      <c r="H35" s="219">
        <v>6500000</v>
      </c>
      <c r="I35" s="219">
        <v>0</v>
      </c>
      <c r="J35" s="219">
        <v>520000</v>
      </c>
      <c r="K35" s="219">
        <v>0</v>
      </c>
      <c r="L35" s="219">
        <v>0</v>
      </c>
      <c r="M35" s="219">
        <v>13333505</v>
      </c>
      <c r="N35" s="219">
        <f t="shared" si="0"/>
        <v>31193505</v>
      </c>
    </row>
    <row r="36" spans="2:14" ht="19.7" customHeight="1" x14ac:dyDescent="0.25">
      <c r="B36" s="230">
        <v>29</v>
      </c>
      <c r="C36" s="254" t="s">
        <v>269</v>
      </c>
      <c r="D36" s="219">
        <v>300000</v>
      </c>
      <c r="E36" s="219">
        <v>0</v>
      </c>
      <c r="F36" s="219">
        <v>140000</v>
      </c>
      <c r="G36" s="219">
        <v>10400000</v>
      </c>
      <c r="H36" s="219">
        <v>6500000</v>
      </c>
      <c r="I36" s="219">
        <v>0</v>
      </c>
      <c r="J36" s="219">
        <v>520000</v>
      </c>
      <c r="K36" s="219">
        <v>0</v>
      </c>
      <c r="L36" s="219">
        <v>0</v>
      </c>
      <c r="M36" s="219">
        <v>13333505</v>
      </c>
      <c r="N36" s="219">
        <f t="shared" si="0"/>
        <v>31193505</v>
      </c>
    </row>
    <row r="37" spans="2:14" ht="19.7" customHeight="1" x14ac:dyDescent="0.25">
      <c r="B37" s="230">
        <v>30</v>
      </c>
      <c r="C37" s="254" t="s">
        <v>270</v>
      </c>
      <c r="D37" s="219">
        <v>300000</v>
      </c>
      <c r="E37" s="219">
        <v>0</v>
      </c>
      <c r="F37" s="219">
        <v>140000</v>
      </c>
      <c r="G37" s="219">
        <v>10400000</v>
      </c>
      <c r="H37" s="219">
        <v>6500000</v>
      </c>
      <c r="I37" s="219">
        <v>0</v>
      </c>
      <c r="J37" s="219">
        <v>520000</v>
      </c>
      <c r="K37" s="219">
        <v>0</v>
      </c>
      <c r="L37" s="219">
        <v>0</v>
      </c>
      <c r="M37" s="219">
        <v>13333505</v>
      </c>
      <c r="N37" s="219">
        <f t="shared" si="0"/>
        <v>31193505</v>
      </c>
    </row>
    <row r="38" spans="2:14" ht="19.7" customHeight="1" x14ac:dyDescent="0.25">
      <c r="B38" s="230">
        <v>31</v>
      </c>
      <c r="C38" s="254" t="s">
        <v>271</v>
      </c>
      <c r="D38" s="219">
        <v>300000</v>
      </c>
      <c r="E38" s="219">
        <v>140000</v>
      </c>
      <c r="F38" s="219">
        <v>140000</v>
      </c>
      <c r="G38" s="219">
        <v>10400000</v>
      </c>
      <c r="H38" s="219">
        <v>6500000</v>
      </c>
      <c r="I38" s="219">
        <v>0</v>
      </c>
      <c r="J38" s="219">
        <v>520000</v>
      </c>
      <c r="K38" s="219">
        <v>0</v>
      </c>
      <c r="L38" s="219">
        <v>0</v>
      </c>
      <c r="M38" s="219">
        <v>13333505</v>
      </c>
      <c r="N38" s="219">
        <f t="shared" si="0"/>
        <v>31333505</v>
      </c>
    </row>
    <row r="39" spans="2:14" ht="19.7" customHeight="1" x14ac:dyDescent="0.25">
      <c r="B39" s="230">
        <v>32</v>
      </c>
      <c r="C39" s="254" t="s">
        <v>272</v>
      </c>
      <c r="D39" s="219">
        <v>300000</v>
      </c>
      <c r="E39" s="219">
        <v>0</v>
      </c>
      <c r="F39" s="219">
        <v>140000</v>
      </c>
      <c r="G39" s="219">
        <v>10400000</v>
      </c>
      <c r="H39" s="219">
        <v>6500000</v>
      </c>
      <c r="I39" s="219">
        <v>0</v>
      </c>
      <c r="J39" s="219">
        <v>520000</v>
      </c>
      <c r="K39" s="219">
        <v>0</v>
      </c>
      <c r="L39" s="219">
        <v>0</v>
      </c>
      <c r="M39" s="219">
        <v>13333505</v>
      </c>
      <c r="N39" s="219">
        <f t="shared" si="0"/>
        <v>31193505</v>
      </c>
    </row>
    <row r="40" spans="2:14" ht="19.7" customHeight="1" x14ac:dyDescent="0.25">
      <c r="B40" s="230">
        <v>33</v>
      </c>
      <c r="C40" s="254" t="s">
        <v>273</v>
      </c>
      <c r="D40" s="219">
        <v>300000</v>
      </c>
      <c r="E40" s="219">
        <v>140000</v>
      </c>
      <c r="F40" s="219">
        <v>140000</v>
      </c>
      <c r="G40" s="219">
        <v>10400000</v>
      </c>
      <c r="H40" s="219">
        <v>6500000</v>
      </c>
      <c r="I40" s="219">
        <v>0</v>
      </c>
      <c r="J40" s="219">
        <v>520000</v>
      </c>
      <c r="K40" s="219">
        <v>0</v>
      </c>
      <c r="L40" s="219">
        <v>0</v>
      </c>
      <c r="M40" s="219">
        <v>13333505</v>
      </c>
      <c r="N40" s="219">
        <f t="shared" si="0"/>
        <v>31333505</v>
      </c>
    </row>
    <row r="41" spans="2:14" ht="19.7" customHeight="1" x14ac:dyDescent="0.25">
      <c r="B41" s="230">
        <v>34</v>
      </c>
      <c r="C41" s="254" t="s">
        <v>274</v>
      </c>
      <c r="D41" s="219">
        <v>300000</v>
      </c>
      <c r="E41" s="219">
        <v>0</v>
      </c>
      <c r="F41" s="219">
        <v>140000</v>
      </c>
      <c r="G41" s="219">
        <v>10400000</v>
      </c>
      <c r="H41" s="219">
        <v>6500000</v>
      </c>
      <c r="I41" s="219">
        <v>0</v>
      </c>
      <c r="J41" s="219">
        <v>520000</v>
      </c>
      <c r="K41" s="219">
        <v>0</v>
      </c>
      <c r="L41" s="219">
        <v>0</v>
      </c>
      <c r="M41" s="219">
        <v>13333505</v>
      </c>
      <c r="N41" s="219">
        <f t="shared" si="0"/>
        <v>31193505</v>
      </c>
    </row>
    <row r="42" spans="2:14" ht="19.7" customHeight="1" x14ac:dyDescent="0.25">
      <c r="B42" s="230">
        <v>35</v>
      </c>
      <c r="C42" s="254" t="s">
        <v>275</v>
      </c>
      <c r="D42" s="219">
        <v>300000</v>
      </c>
      <c r="E42" s="219">
        <v>0</v>
      </c>
      <c r="F42" s="219">
        <v>140000</v>
      </c>
      <c r="G42" s="219">
        <v>10400000</v>
      </c>
      <c r="H42" s="219">
        <v>6500000</v>
      </c>
      <c r="I42" s="219">
        <v>0</v>
      </c>
      <c r="J42" s="219">
        <v>520000</v>
      </c>
      <c r="K42" s="219">
        <v>0</v>
      </c>
      <c r="L42" s="219">
        <v>0</v>
      </c>
      <c r="M42" s="219">
        <v>13333505</v>
      </c>
      <c r="N42" s="219">
        <f t="shared" si="0"/>
        <v>31193505</v>
      </c>
    </row>
    <row r="43" spans="2:14" ht="19.7" customHeight="1" x14ac:dyDescent="0.25">
      <c r="B43" s="230">
        <v>36</v>
      </c>
      <c r="C43" s="254" t="s">
        <v>296</v>
      </c>
      <c r="D43" s="219">
        <v>1500000</v>
      </c>
      <c r="E43" s="219">
        <v>2240000</v>
      </c>
      <c r="F43" s="219">
        <v>2240000</v>
      </c>
      <c r="G43" s="219">
        <v>19500000</v>
      </c>
      <c r="H43" s="219">
        <v>15000000</v>
      </c>
      <c r="I43" s="219">
        <v>10400000</v>
      </c>
      <c r="J43" s="219">
        <v>16000000</v>
      </c>
      <c r="K43" s="219">
        <v>10400000</v>
      </c>
      <c r="L43" s="219">
        <v>17777406.150000002</v>
      </c>
      <c r="M43" s="219">
        <v>26666109.75</v>
      </c>
      <c r="N43" s="219">
        <f t="shared" si="0"/>
        <v>121723515.90000001</v>
      </c>
    </row>
    <row r="44" spans="2:14" ht="19.7" customHeight="1" x14ac:dyDescent="0.25">
      <c r="B44" s="230">
        <v>37</v>
      </c>
      <c r="C44" s="254" t="s">
        <v>277</v>
      </c>
      <c r="D44" s="219">
        <v>1500000</v>
      </c>
      <c r="E44" s="219">
        <v>2240000</v>
      </c>
      <c r="F44" s="219">
        <v>2240000</v>
      </c>
      <c r="G44" s="219">
        <v>19500000</v>
      </c>
      <c r="H44" s="219">
        <v>15000000</v>
      </c>
      <c r="I44" s="219">
        <v>10400000</v>
      </c>
      <c r="J44" s="219">
        <v>16000000</v>
      </c>
      <c r="K44" s="219">
        <v>10400000</v>
      </c>
      <c r="L44" s="219">
        <v>17777406.150000002</v>
      </c>
      <c r="M44" s="219">
        <v>26666109.75</v>
      </c>
      <c r="N44" s="219">
        <f t="shared" si="0"/>
        <v>121723515.90000001</v>
      </c>
    </row>
    <row r="45" spans="2:14" ht="19.7" customHeight="1" x14ac:dyDescent="0.25">
      <c r="B45" s="230">
        <v>38</v>
      </c>
      <c r="C45" s="254" t="s">
        <v>278</v>
      </c>
      <c r="D45" s="219">
        <v>1500000</v>
      </c>
      <c r="E45" s="219">
        <v>2240000</v>
      </c>
      <c r="F45" s="219">
        <v>2240000</v>
      </c>
      <c r="G45" s="219">
        <v>19500000</v>
      </c>
      <c r="H45" s="219">
        <v>15000000</v>
      </c>
      <c r="I45" s="219">
        <v>10400000</v>
      </c>
      <c r="J45" s="219">
        <v>16000000</v>
      </c>
      <c r="K45" s="219">
        <v>10400000</v>
      </c>
      <c r="L45" s="219">
        <v>17777406.150000002</v>
      </c>
      <c r="M45" s="219">
        <v>26666109.75</v>
      </c>
      <c r="N45" s="219">
        <f t="shared" si="0"/>
        <v>121723515.90000001</v>
      </c>
    </row>
    <row r="46" spans="2:14" ht="19.7" customHeight="1" x14ac:dyDescent="0.25">
      <c r="B46" s="230">
        <v>39</v>
      </c>
      <c r="C46" s="258" t="s">
        <v>279</v>
      </c>
      <c r="D46" s="219">
        <v>300000</v>
      </c>
      <c r="E46" s="219">
        <v>0</v>
      </c>
      <c r="F46" s="219">
        <v>140000</v>
      </c>
      <c r="G46" s="219">
        <v>10400000</v>
      </c>
      <c r="H46" s="219">
        <v>6500000</v>
      </c>
      <c r="I46" s="219">
        <v>0</v>
      </c>
      <c r="J46" s="219">
        <v>520000</v>
      </c>
      <c r="K46" s="219">
        <v>0</v>
      </c>
      <c r="L46" s="219">
        <v>0</v>
      </c>
      <c r="M46" s="219">
        <v>13333505</v>
      </c>
      <c r="N46" s="219">
        <f t="shared" si="0"/>
        <v>31193505</v>
      </c>
    </row>
    <row r="47" spans="2:14" ht="19.7" customHeight="1" x14ac:dyDescent="0.25">
      <c r="B47" s="230">
        <v>40</v>
      </c>
      <c r="C47" s="254" t="s">
        <v>280</v>
      </c>
      <c r="D47" s="219">
        <v>1500000</v>
      </c>
      <c r="E47" s="219">
        <v>2240000</v>
      </c>
      <c r="F47" s="219">
        <v>140000</v>
      </c>
      <c r="G47" s="219">
        <v>0</v>
      </c>
      <c r="H47" s="219">
        <v>0</v>
      </c>
      <c r="I47" s="219">
        <v>0</v>
      </c>
      <c r="J47" s="219">
        <v>520000</v>
      </c>
      <c r="K47" s="219">
        <v>0</v>
      </c>
      <c r="L47" s="219">
        <v>0</v>
      </c>
      <c r="M47" s="219">
        <v>0</v>
      </c>
      <c r="N47" s="219">
        <f t="shared" si="0"/>
        <v>4400000</v>
      </c>
    </row>
    <row r="48" spans="2:14" ht="19.7" customHeight="1" x14ac:dyDescent="0.25">
      <c r="B48" s="230"/>
      <c r="C48" s="279" t="s">
        <v>297</v>
      </c>
      <c r="D48" s="224">
        <f>SUM(D5:D47)</f>
        <v>18900000</v>
      </c>
      <c r="E48" s="224">
        <f t="shared" ref="E48:N48" si="1">SUM(E5:E47)</f>
        <v>17220000</v>
      </c>
      <c r="F48" s="224">
        <f t="shared" si="1"/>
        <v>15960000</v>
      </c>
      <c r="G48" s="224">
        <f t="shared" si="1"/>
        <v>449800000</v>
      </c>
      <c r="H48" s="224">
        <f t="shared" si="1"/>
        <v>298000000</v>
      </c>
      <c r="I48" s="224">
        <f t="shared" si="1"/>
        <v>72800000</v>
      </c>
      <c r="J48" s="224">
        <f t="shared" si="1"/>
        <v>113160000</v>
      </c>
      <c r="K48" s="224">
        <f t="shared" si="1"/>
        <v>62400000</v>
      </c>
      <c r="L48" s="224">
        <f t="shared" si="1"/>
        <v>106664436.90000002</v>
      </c>
      <c r="M48" s="224">
        <f t="shared" si="1"/>
        <v>586668818.5</v>
      </c>
      <c r="N48" s="224">
        <f t="shared" si="1"/>
        <v>1741573255.4000001</v>
      </c>
    </row>
    <row r="49" spans="2:14" ht="19.7" customHeight="1" x14ac:dyDescent="0.25">
      <c r="B49" s="743"/>
      <c r="C49" s="259"/>
      <c r="D49" s="225"/>
      <c r="E49" s="225"/>
      <c r="F49" s="225"/>
      <c r="G49" s="225"/>
      <c r="H49" s="225"/>
      <c r="I49" s="225"/>
      <c r="J49" s="225"/>
      <c r="K49" s="225"/>
      <c r="L49" s="903" t="s">
        <v>282</v>
      </c>
      <c r="M49" s="903"/>
      <c r="N49" s="224">
        <f>N48*0.16</f>
        <v>278651720.86400002</v>
      </c>
    </row>
    <row r="50" spans="2:14" ht="19.7" customHeight="1" x14ac:dyDescent="0.25">
      <c r="B50" s="743"/>
      <c r="C50" s="259"/>
      <c r="D50" s="225"/>
      <c r="E50" s="225"/>
      <c r="F50" s="225"/>
      <c r="G50" s="225"/>
      <c r="H50" s="225"/>
      <c r="I50" s="225"/>
      <c r="J50" s="225"/>
      <c r="K50" s="225"/>
      <c r="L50" s="903" t="s">
        <v>161</v>
      </c>
      <c r="M50" s="903"/>
      <c r="N50" s="224">
        <f>SUM(N48:N49)</f>
        <v>2020224976.2640002</v>
      </c>
    </row>
    <row r="51" spans="2:14" ht="19.7" customHeight="1" x14ac:dyDescent="0.25">
      <c r="B51" s="743"/>
      <c r="C51" s="259"/>
      <c r="D51" s="225"/>
      <c r="E51" s="225"/>
      <c r="F51" s="225"/>
      <c r="G51" s="225"/>
      <c r="H51" s="225"/>
      <c r="I51" s="225"/>
      <c r="J51" s="225"/>
      <c r="K51" s="225"/>
      <c r="L51" s="903" t="s">
        <v>666</v>
      </c>
      <c r="M51" s="903"/>
      <c r="N51" s="224">
        <f>N50*0.3</f>
        <v>606067492.87919998</v>
      </c>
    </row>
  </sheetData>
  <mergeCells count="4">
    <mergeCell ref="B3:N3"/>
    <mergeCell ref="L49:M49"/>
    <mergeCell ref="L50:M50"/>
    <mergeCell ref="L51:M51"/>
  </mergeCells>
  <pageMargins left="0.7" right="0.7" top="0.75" bottom="0.75" header="0.3" footer="0.3"/>
  <pageSetup paperSize="5" scale="90" orientation="landscape" r:id="rId1"/>
  <headerFooter>
    <oddFooter xml:space="preserve">&amp;C
</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5:J18"/>
  <sheetViews>
    <sheetView view="pageLayout" topLeftCell="A4" zoomScaleNormal="100" workbookViewId="0">
      <selection activeCell="B5" sqref="B5:J18"/>
    </sheetView>
  </sheetViews>
  <sheetFormatPr baseColWidth="10" defaultRowHeight="15" x14ac:dyDescent="0.25"/>
  <cols>
    <col min="1" max="1" width="11.42578125" style="113"/>
    <col min="2" max="2" width="5.7109375" style="113" bestFit="1" customWidth="1"/>
    <col min="3" max="3" width="54.42578125" style="113" customWidth="1"/>
    <col min="4" max="4" width="10.5703125" style="262" customWidth="1"/>
    <col min="5" max="5" width="10.28515625" style="113" customWidth="1"/>
    <col min="6" max="6" width="10" style="113" bestFit="1" customWidth="1"/>
    <col min="7" max="7" width="13.42578125" style="262" customWidth="1"/>
    <col min="8" max="16384" width="11.42578125" style="113"/>
  </cols>
  <sheetData>
    <row r="5" spans="2:10" x14ac:dyDescent="0.25">
      <c r="B5" s="872" t="s">
        <v>1846</v>
      </c>
      <c r="C5" s="872"/>
      <c r="D5" s="872"/>
      <c r="E5" s="872"/>
      <c r="F5" s="872"/>
      <c r="G5" s="872"/>
      <c r="H5" s="872"/>
      <c r="I5" s="872"/>
      <c r="J5" s="872"/>
    </row>
    <row r="6" spans="2:10" s="637" customFormat="1" ht="91.5" customHeight="1" x14ac:dyDescent="0.25">
      <c r="B6" s="207" t="s">
        <v>299</v>
      </c>
      <c r="C6" s="732" t="s">
        <v>0</v>
      </c>
      <c r="D6" s="732" t="s">
        <v>1852</v>
      </c>
      <c r="E6" s="732" t="s">
        <v>285</v>
      </c>
      <c r="F6" s="732" t="s">
        <v>284</v>
      </c>
      <c r="G6" s="742" t="s">
        <v>1853</v>
      </c>
      <c r="H6" s="732" t="s">
        <v>285</v>
      </c>
      <c r="I6" s="732" t="s">
        <v>284</v>
      </c>
      <c r="J6" s="732" t="s">
        <v>164</v>
      </c>
    </row>
    <row r="7" spans="2:10" ht="18" customHeight="1" x14ac:dyDescent="0.25">
      <c r="B7" s="744">
        <v>1</v>
      </c>
      <c r="C7" s="185" t="s">
        <v>1879</v>
      </c>
      <c r="D7" s="144">
        <v>82</v>
      </c>
      <c r="E7" s="186">
        <v>131897</v>
      </c>
      <c r="F7" s="186">
        <f>D7*E7</f>
        <v>10815554</v>
      </c>
      <c r="G7" s="144">
        <v>50</v>
      </c>
      <c r="H7" s="186">
        <v>19828</v>
      </c>
      <c r="I7" s="186">
        <f>G7*H7</f>
        <v>991400</v>
      </c>
      <c r="J7" s="186">
        <f>+I7+F7</f>
        <v>11806954</v>
      </c>
    </row>
    <row r="8" spans="2:10" ht="18" customHeight="1" x14ac:dyDescent="0.25">
      <c r="B8" s="744">
        <v>2</v>
      </c>
      <c r="C8" s="185" t="s">
        <v>1878</v>
      </c>
      <c r="D8" s="144"/>
      <c r="E8" s="186">
        <v>365800</v>
      </c>
      <c r="F8" s="186">
        <f t="shared" ref="F8:F14" si="0">D8*E8</f>
        <v>0</v>
      </c>
      <c r="G8" s="144"/>
      <c r="H8" s="186"/>
      <c r="I8" s="186">
        <f t="shared" ref="I8:I14" si="1">G8*H8</f>
        <v>0</v>
      </c>
      <c r="J8" s="186">
        <f t="shared" ref="J8:J14" si="2">+I8+F8</f>
        <v>0</v>
      </c>
    </row>
    <row r="9" spans="2:10" ht="18" customHeight="1" x14ac:dyDescent="0.25">
      <c r="B9" s="744">
        <v>2</v>
      </c>
      <c r="C9" s="185" t="s">
        <v>301</v>
      </c>
      <c r="D9" s="144">
        <v>4</v>
      </c>
      <c r="E9" s="186"/>
      <c r="F9" s="186">
        <f t="shared" si="0"/>
        <v>0</v>
      </c>
      <c r="G9" s="144"/>
      <c r="H9" s="186"/>
      <c r="I9" s="186">
        <f t="shared" si="1"/>
        <v>0</v>
      </c>
      <c r="J9" s="186">
        <f t="shared" si="2"/>
        <v>0</v>
      </c>
    </row>
    <row r="10" spans="2:10" ht="18" customHeight="1" x14ac:dyDescent="0.25">
      <c r="B10" s="744">
        <v>3</v>
      </c>
      <c r="C10" s="185" t="s">
        <v>303</v>
      </c>
      <c r="D10" s="144">
        <v>97</v>
      </c>
      <c r="E10" s="186">
        <v>14655</v>
      </c>
      <c r="F10" s="186">
        <f t="shared" si="0"/>
        <v>1421535</v>
      </c>
      <c r="G10" s="144"/>
      <c r="H10" s="186"/>
      <c r="I10" s="186">
        <f t="shared" si="1"/>
        <v>0</v>
      </c>
      <c r="J10" s="186">
        <f t="shared" si="2"/>
        <v>1421535</v>
      </c>
    </row>
    <row r="11" spans="2:10" ht="18" customHeight="1" x14ac:dyDescent="0.25">
      <c r="B11" s="744">
        <v>4</v>
      </c>
      <c r="C11" s="185" t="s">
        <v>1854</v>
      </c>
      <c r="D11" s="144">
        <v>10</v>
      </c>
      <c r="E11" s="186">
        <v>10345</v>
      </c>
      <c r="F11" s="186">
        <f t="shared" si="0"/>
        <v>103450</v>
      </c>
      <c r="G11" s="144"/>
      <c r="H11" s="186"/>
      <c r="I11" s="186">
        <f t="shared" si="1"/>
        <v>0</v>
      </c>
      <c r="J11" s="186">
        <f t="shared" si="2"/>
        <v>103450</v>
      </c>
    </row>
    <row r="12" spans="2:10" ht="18" customHeight="1" x14ac:dyDescent="0.25">
      <c r="B12" s="744">
        <v>5</v>
      </c>
      <c r="C12" s="185" t="s">
        <v>1845</v>
      </c>
      <c r="D12" s="144">
        <v>40</v>
      </c>
      <c r="E12" s="186">
        <v>14655</v>
      </c>
      <c r="F12" s="186">
        <f t="shared" si="0"/>
        <v>586200</v>
      </c>
      <c r="G12" s="144"/>
      <c r="H12" s="186"/>
      <c r="I12" s="186">
        <f t="shared" si="1"/>
        <v>0</v>
      </c>
      <c r="J12" s="186">
        <f t="shared" si="2"/>
        <v>586200</v>
      </c>
    </row>
    <row r="13" spans="2:10" ht="18" customHeight="1" x14ac:dyDescent="0.25">
      <c r="B13" s="744">
        <v>6</v>
      </c>
      <c r="C13" s="185" t="s">
        <v>304</v>
      </c>
      <c r="D13" s="144">
        <v>17</v>
      </c>
      <c r="E13" s="186">
        <v>18966</v>
      </c>
      <c r="F13" s="186">
        <f t="shared" si="0"/>
        <v>322422</v>
      </c>
      <c r="G13" s="144"/>
      <c r="H13" s="186"/>
      <c r="I13" s="186">
        <f t="shared" si="1"/>
        <v>0</v>
      </c>
      <c r="J13" s="186">
        <f t="shared" si="2"/>
        <v>322422</v>
      </c>
    </row>
    <row r="14" spans="2:10" ht="18" customHeight="1" x14ac:dyDescent="0.25">
      <c r="B14" s="744">
        <v>7</v>
      </c>
      <c r="C14" s="185" t="s">
        <v>1855</v>
      </c>
      <c r="D14" s="144">
        <v>1</v>
      </c>
      <c r="E14" s="186">
        <v>15000000</v>
      </c>
      <c r="F14" s="186">
        <f t="shared" si="0"/>
        <v>15000000</v>
      </c>
      <c r="G14" s="144"/>
      <c r="H14" s="186"/>
      <c r="I14" s="186">
        <f t="shared" si="1"/>
        <v>0</v>
      </c>
      <c r="J14" s="186">
        <f t="shared" si="2"/>
        <v>15000000</v>
      </c>
    </row>
    <row r="15" spans="2:10" ht="18" customHeight="1" x14ac:dyDescent="0.25">
      <c r="B15" s="213"/>
      <c r="C15" s="188"/>
      <c r="D15" s="327"/>
      <c r="E15" s="486"/>
      <c r="F15" s="486"/>
      <c r="G15" s="960" t="s">
        <v>284</v>
      </c>
      <c r="H15" s="976"/>
      <c r="I15" s="961"/>
      <c r="J15" s="151">
        <f>SUM(J7:J14)</f>
        <v>29240561</v>
      </c>
    </row>
    <row r="16" spans="2:10" ht="18" customHeight="1" x14ac:dyDescent="0.25">
      <c r="B16" s="194"/>
      <c r="C16" s="190"/>
      <c r="D16" s="736"/>
      <c r="E16" s="510"/>
      <c r="F16" s="510"/>
      <c r="G16" s="960" t="s">
        <v>159</v>
      </c>
      <c r="H16" s="976"/>
      <c r="I16" s="961"/>
      <c r="J16" s="151">
        <f>J15*0.16</f>
        <v>4678489.76</v>
      </c>
    </row>
    <row r="17" spans="2:10" ht="18" customHeight="1" x14ac:dyDescent="0.25">
      <c r="B17" s="194"/>
      <c r="C17" s="190"/>
      <c r="D17" s="736"/>
      <c r="E17" s="510"/>
      <c r="F17" s="510"/>
      <c r="G17" s="960" t="s">
        <v>298</v>
      </c>
      <c r="H17" s="976"/>
      <c r="I17" s="961"/>
      <c r="J17" s="151">
        <f>SUM(J15:J16)</f>
        <v>33919050.759999998</v>
      </c>
    </row>
    <row r="18" spans="2:10" x14ac:dyDescent="0.25">
      <c r="G18" s="960" t="s">
        <v>666</v>
      </c>
      <c r="H18" s="976"/>
      <c r="I18" s="961"/>
      <c r="J18" s="151">
        <f>J17*0.3</f>
        <v>10175715.227999998</v>
      </c>
    </row>
  </sheetData>
  <mergeCells count="5">
    <mergeCell ref="B5:J5"/>
    <mergeCell ref="G15:I15"/>
    <mergeCell ref="G16:I16"/>
    <mergeCell ref="G17:I17"/>
    <mergeCell ref="G18:I18"/>
  </mergeCells>
  <pageMargins left="0.7" right="0.7" top="0.75" bottom="0.75" header="0.3" footer="0.3"/>
  <pageSetup paperSize="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N51"/>
  <sheetViews>
    <sheetView view="pageLayout" workbookViewId="0">
      <selection activeCell="A3" sqref="A3:N51"/>
    </sheetView>
  </sheetViews>
  <sheetFormatPr baseColWidth="10" defaultRowHeight="15" x14ac:dyDescent="0.25"/>
  <cols>
    <col min="1" max="1" width="6.7109375" style="262" customWidth="1"/>
    <col min="2" max="2" width="20.140625" style="113" customWidth="1"/>
    <col min="3" max="3" width="14.5703125" style="113" customWidth="1"/>
    <col min="4" max="4" width="13.7109375" style="113" bestFit="1" customWidth="1"/>
    <col min="5" max="5" width="13.28515625" style="113" bestFit="1" customWidth="1"/>
    <col min="6" max="6" width="11.7109375" style="113" bestFit="1" customWidth="1"/>
    <col min="7" max="7" width="11.28515625" style="113" customWidth="1"/>
    <col min="8" max="8" width="10.85546875" style="113" bestFit="1" customWidth="1"/>
    <col min="9" max="11" width="10.85546875" style="113" customWidth="1"/>
    <col min="12" max="12" width="11.140625" style="113" bestFit="1" customWidth="1"/>
    <col min="13" max="13" width="11.140625" style="113" customWidth="1"/>
    <col min="14" max="14" width="13.28515625" style="113" customWidth="1"/>
    <col min="15" max="15" width="10.140625" style="113" bestFit="1" customWidth="1"/>
    <col min="16" max="16" width="11.28515625" style="113" customWidth="1"/>
    <col min="17" max="17" width="10.140625" style="113" bestFit="1" customWidth="1"/>
    <col min="18" max="18" width="10" style="113" customWidth="1"/>
    <col min="19" max="19" width="14.140625" style="113" customWidth="1"/>
    <col min="20" max="16384" width="11.42578125" style="113"/>
  </cols>
  <sheetData>
    <row r="3" spans="1:14" x14ac:dyDescent="0.25">
      <c r="A3" s="903" t="s">
        <v>1909</v>
      </c>
      <c r="B3" s="903"/>
      <c r="C3" s="903"/>
      <c r="D3" s="903"/>
      <c r="E3" s="903"/>
      <c r="F3" s="903"/>
      <c r="G3" s="903"/>
      <c r="H3" s="903"/>
      <c r="I3" s="903"/>
      <c r="J3" s="903"/>
      <c r="K3" s="903"/>
      <c r="L3" s="903"/>
      <c r="M3" s="903"/>
      <c r="N3" s="903"/>
    </row>
    <row r="4" spans="1:14" s="661" customFormat="1" ht="103.5" customHeight="1" x14ac:dyDescent="0.25">
      <c r="A4" s="218" t="s">
        <v>305</v>
      </c>
      <c r="B4" s="218" t="s">
        <v>287</v>
      </c>
      <c r="C4" s="217" t="s">
        <v>1470</v>
      </c>
      <c r="D4" s="217" t="s">
        <v>1471</v>
      </c>
      <c r="E4" s="217" t="s">
        <v>1472</v>
      </c>
      <c r="F4" s="218" t="s">
        <v>1473</v>
      </c>
      <c r="G4" s="218" t="s">
        <v>1474</v>
      </c>
      <c r="H4" s="217" t="s">
        <v>1475</v>
      </c>
      <c r="I4" s="217" t="s">
        <v>1476</v>
      </c>
      <c r="J4" s="217" t="s">
        <v>1477</v>
      </c>
      <c r="K4" s="217" t="s">
        <v>1478</v>
      </c>
      <c r="L4" s="217" t="s">
        <v>1479</v>
      </c>
      <c r="M4" s="217" t="s">
        <v>1480</v>
      </c>
      <c r="N4" s="217" t="s">
        <v>1460</v>
      </c>
    </row>
    <row r="5" spans="1:14" x14ac:dyDescent="0.25">
      <c r="A5" s="563">
        <v>1</v>
      </c>
      <c r="B5" s="222" t="s">
        <v>241</v>
      </c>
      <c r="C5" s="219">
        <v>1707881.8765136399</v>
      </c>
      <c r="D5" s="219">
        <v>371387.10000000003</v>
      </c>
      <c r="E5" s="219">
        <v>636663.6</v>
      </c>
      <c r="F5" s="219">
        <v>53055.3</v>
      </c>
      <c r="G5" s="219">
        <v>159165.9</v>
      </c>
      <c r="H5" s="219">
        <v>106110.6</v>
      </c>
      <c r="I5" s="219">
        <v>477497.7</v>
      </c>
      <c r="J5" s="219">
        <v>106110.6</v>
      </c>
      <c r="K5" s="219">
        <v>106110.6</v>
      </c>
      <c r="L5" s="219">
        <v>212221.2</v>
      </c>
      <c r="M5" s="219">
        <v>212221.2</v>
      </c>
      <c r="N5" s="219">
        <f>SUM(C5:M5)</f>
        <v>4148425.6765136407</v>
      </c>
    </row>
    <row r="6" spans="1:14" x14ac:dyDescent="0.25">
      <c r="A6" s="563">
        <v>2</v>
      </c>
      <c r="B6" s="222" t="s">
        <v>242</v>
      </c>
      <c r="C6" s="219">
        <v>7816663.759928341</v>
      </c>
      <c r="D6" s="219">
        <v>3183318</v>
      </c>
      <c r="E6" s="219">
        <v>636663.6</v>
      </c>
      <c r="F6" s="219">
        <v>424442.4</v>
      </c>
      <c r="G6" s="219">
        <v>1273327.2</v>
      </c>
      <c r="H6" s="219">
        <v>106110.6</v>
      </c>
      <c r="I6" s="219">
        <v>1909990.8</v>
      </c>
      <c r="J6" s="219">
        <v>848884.8</v>
      </c>
      <c r="K6" s="219">
        <v>848884.8</v>
      </c>
      <c r="L6" s="219">
        <v>1697769.6</v>
      </c>
      <c r="M6" s="219">
        <v>424442.4</v>
      </c>
      <c r="N6" s="219">
        <f t="shared" ref="N6:N49" si="0">SUM(C6:M6)</f>
        <v>19170497.959928341</v>
      </c>
    </row>
    <row r="7" spans="1:14" x14ac:dyDescent="0.25">
      <c r="A7" s="563">
        <v>3</v>
      </c>
      <c r="B7" s="222" t="s">
        <v>243</v>
      </c>
      <c r="C7" s="219">
        <v>1707881.8765136399</v>
      </c>
      <c r="D7" s="219">
        <v>0</v>
      </c>
      <c r="E7" s="219">
        <v>636663.6</v>
      </c>
      <c r="F7" s="219">
        <v>53055.3</v>
      </c>
      <c r="G7" s="219">
        <v>159165.9</v>
      </c>
      <c r="H7" s="219">
        <v>106110.6</v>
      </c>
      <c r="I7" s="219">
        <v>477497.7</v>
      </c>
      <c r="J7" s="219">
        <v>106110.6</v>
      </c>
      <c r="K7" s="219">
        <v>106110.6</v>
      </c>
      <c r="L7" s="219">
        <v>212221.2</v>
      </c>
      <c r="M7" s="219">
        <v>212221.2</v>
      </c>
      <c r="N7" s="219">
        <f t="shared" si="0"/>
        <v>3777038.5765136406</v>
      </c>
    </row>
    <row r="8" spans="1:14" x14ac:dyDescent="0.25">
      <c r="A8" s="563">
        <v>4</v>
      </c>
      <c r="B8" s="222" t="s">
        <v>244</v>
      </c>
      <c r="C8" s="219">
        <v>2537223.6930922801</v>
      </c>
      <c r="D8" s="219">
        <v>371387.10000000003</v>
      </c>
      <c r="E8" s="219">
        <v>636663.6</v>
      </c>
      <c r="F8" s="219">
        <v>53055.3</v>
      </c>
      <c r="G8" s="219">
        <v>159165.9</v>
      </c>
      <c r="H8" s="219">
        <v>106110.6</v>
      </c>
      <c r="I8" s="219">
        <v>477497.7</v>
      </c>
      <c r="J8" s="219">
        <v>106110.6</v>
      </c>
      <c r="K8" s="219">
        <v>106110.6</v>
      </c>
      <c r="L8" s="219">
        <v>212221.2</v>
      </c>
      <c r="M8" s="219">
        <v>0</v>
      </c>
      <c r="N8" s="219">
        <f t="shared" si="0"/>
        <v>4765546.2930922797</v>
      </c>
    </row>
    <row r="9" spans="1:14" x14ac:dyDescent="0.25">
      <c r="A9" s="563">
        <v>5</v>
      </c>
      <c r="B9" s="222" t="s">
        <v>245</v>
      </c>
      <c r="C9" s="219">
        <v>1707881.8765136399</v>
      </c>
      <c r="D9" s="219">
        <v>0</v>
      </c>
      <c r="E9" s="219">
        <v>636663.6</v>
      </c>
      <c r="F9" s="219">
        <v>53055.3</v>
      </c>
      <c r="G9" s="219">
        <v>159165.9</v>
      </c>
      <c r="H9" s="219">
        <v>106110.6</v>
      </c>
      <c r="I9" s="219">
        <v>477497.7</v>
      </c>
      <c r="J9" s="219">
        <v>106110.6</v>
      </c>
      <c r="K9" s="219">
        <v>106110.6</v>
      </c>
      <c r="L9" s="219">
        <v>212221.2</v>
      </c>
      <c r="M9" s="219">
        <v>0</v>
      </c>
      <c r="N9" s="219">
        <f t="shared" si="0"/>
        <v>3564817.3765136404</v>
      </c>
    </row>
    <row r="10" spans="1:14" x14ac:dyDescent="0.25">
      <c r="A10" s="563">
        <v>6</v>
      </c>
      <c r="B10" s="222" t="s">
        <v>246</v>
      </c>
      <c r="C10" s="219">
        <v>7256740.8950631004</v>
      </c>
      <c r="D10" s="219">
        <v>371387.10000000003</v>
      </c>
      <c r="E10" s="219">
        <v>636663.6</v>
      </c>
      <c r="F10" s="219">
        <v>53055.3</v>
      </c>
      <c r="G10" s="219">
        <v>159165.9</v>
      </c>
      <c r="H10" s="219">
        <v>106110.6</v>
      </c>
      <c r="I10" s="219">
        <v>477497.7</v>
      </c>
      <c r="J10" s="219">
        <v>106110.6</v>
      </c>
      <c r="K10" s="219">
        <v>106110.6</v>
      </c>
      <c r="L10" s="219">
        <v>212221.2</v>
      </c>
      <c r="M10" s="219">
        <v>212221.2</v>
      </c>
      <c r="N10" s="219">
        <f t="shared" si="0"/>
        <v>9697284.6950630955</v>
      </c>
    </row>
    <row r="11" spans="1:14" x14ac:dyDescent="0.25">
      <c r="A11" s="563">
        <v>7</v>
      </c>
      <c r="B11" s="222" t="s">
        <v>526</v>
      </c>
      <c r="C11" s="219">
        <v>702832.0479479999</v>
      </c>
      <c r="D11" s="219">
        <v>0</v>
      </c>
      <c r="E11" s="219">
        <v>636663.6</v>
      </c>
      <c r="F11" s="219">
        <v>53055.3</v>
      </c>
      <c r="G11" s="219">
        <v>159165.9</v>
      </c>
      <c r="H11" s="219">
        <v>106110.6</v>
      </c>
      <c r="I11" s="219">
        <v>477497.7</v>
      </c>
      <c r="J11" s="219">
        <v>106110.6</v>
      </c>
      <c r="K11" s="219">
        <v>106110.6</v>
      </c>
      <c r="L11" s="219">
        <v>212221.2</v>
      </c>
      <c r="M11" s="219">
        <v>212221.2</v>
      </c>
      <c r="N11" s="219">
        <f t="shared" si="0"/>
        <v>2771988.7479480007</v>
      </c>
    </row>
    <row r="12" spans="1:14" x14ac:dyDescent="0.25">
      <c r="A12" s="563">
        <v>8</v>
      </c>
      <c r="B12" s="222" t="s">
        <v>248</v>
      </c>
      <c r="C12" s="219">
        <v>3303310.6253555999</v>
      </c>
      <c r="D12" s="219">
        <v>742774.20000000007</v>
      </c>
      <c r="E12" s="219">
        <v>636663.6</v>
      </c>
      <c r="F12" s="219">
        <v>53055.3</v>
      </c>
      <c r="G12" s="219">
        <v>159165.9</v>
      </c>
      <c r="H12" s="219">
        <v>106110.6</v>
      </c>
      <c r="I12" s="219">
        <v>477497.7</v>
      </c>
      <c r="J12" s="219">
        <v>106110.6</v>
      </c>
      <c r="K12" s="219">
        <v>106110.6</v>
      </c>
      <c r="L12" s="219">
        <v>212221.2</v>
      </c>
      <c r="M12" s="219">
        <v>212221.2</v>
      </c>
      <c r="N12" s="219">
        <f t="shared" si="0"/>
        <v>6115241.5253555998</v>
      </c>
    </row>
    <row r="13" spans="1:14" x14ac:dyDescent="0.25">
      <c r="A13" s="563">
        <v>9</v>
      </c>
      <c r="B13" s="223" t="s">
        <v>249</v>
      </c>
      <c r="C13" s="219">
        <v>1707881.8765136399</v>
      </c>
      <c r="D13" s="219">
        <v>0</v>
      </c>
      <c r="E13" s="219">
        <v>636663.6</v>
      </c>
      <c r="F13" s="219">
        <v>53055.3</v>
      </c>
      <c r="G13" s="219">
        <v>159165.9</v>
      </c>
      <c r="H13" s="219">
        <v>106110.6</v>
      </c>
      <c r="I13" s="219">
        <v>477497.7</v>
      </c>
      <c r="J13" s="219">
        <v>106110.6</v>
      </c>
      <c r="K13" s="219">
        <v>106110.6</v>
      </c>
      <c r="L13" s="219">
        <v>212221.2</v>
      </c>
      <c r="M13" s="219">
        <v>0</v>
      </c>
      <c r="N13" s="219">
        <f t="shared" si="0"/>
        <v>3564817.3765136404</v>
      </c>
    </row>
    <row r="14" spans="1:14" x14ac:dyDescent="0.25">
      <c r="A14" s="563">
        <v>10</v>
      </c>
      <c r="B14" s="222" t="s">
        <v>250</v>
      </c>
      <c r="C14" s="219">
        <v>7816663.759928341</v>
      </c>
      <c r="D14" s="219">
        <v>371387.10000000003</v>
      </c>
      <c r="E14" s="219">
        <v>636663.6</v>
      </c>
      <c r="F14" s="219">
        <v>53055.3</v>
      </c>
      <c r="G14" s="219">
        <v>159165.9</v>
      </c>
      <c r="H14" s="219">
        <v>106110.6</v>
      </c>
      <c r="I14" s="219">
        <v>477497.7</v>
      </c>
      <c r="J14" s="219">
        <v>106110.6</v>
      </c>
      <c r="K14" s="219">
        <v>106110.6</v>
      </c>
      <c r="L14" s="219">
        <v>212221.2</v>
      </c>
      <c r="M14" s="219">
        <v>212221.2</v>
      </c>
      <c r="N14" s="219">
        <f t="shared" si="0"/>
        <v>10257207.559928339</v>
      </c>
    </row>
    <row r="15" spans="1:14" x14ac:dyDescent="0.25">
      <c r="A15" s="563">
        <v>11</v>
      </c>
      <c r="B15" s="222" t="s">
        <v>251</v>
      </c>
      <c r="C15" s="219">
        <v>3303310.6253555999</v>
      </c>
      <c r="D15" s="219">
        <v>742774.20000000007</v>
      </c>
      <c r="E15" s="219">
        <v>636663.6</v>
      </c>
      <c r="F15" s="219">
        <v>53055.3</v>
      </c>
      <c r="G15" s="219">
        <v>159165.9</v>
      </c>
      <c r="H15" s="219">
        <v>106110.6</v>
      </c>
      <c r="I15" s="219">
        <v>477497.7</v>
      </c>
      <c r="J15" s="219">
        <v>106110.6</v>
      </c>
      <c r="K15" s="219">
        <v>106110.6</v>
      </c>
      <c r="L15" s="219">
        <v>212221.2</v>
      </c>
      <c r="M15" s="219">
        <v>212221.2</v>
      </c>
      <c r="N15" s="219">
        <f t="shared" si="0"/>
        <v>6115241.5253555998</v>
      </c>
    </row>
    <row r="16" spans="1:14" x14ac:dyDescent="0.25">
      <c r="A16" s="563">
        <v>12</v>
      </c>
      <c r="B16" s="222" t="s">
        <v>252</v>
      </c>
      <c r="C16" s="219">
        <v>6753044.5940337004</v>
      </c>
      <c r="D16" s="219">
        <v>0</v>
      </c>
      <c r="E16" s="219">
        <v>636663.6</v>
      </c>
      <c r="F16" s="219">
        <v>53055.3</v>
      </c>
      <c r="G16" s="219">
        <v>159165.9</v>
      </c>
      <c r="H16" s="219">
        <v>106110.6</v>
      </c>
      <c r="I16" s="219">
        <v>477497.7</v>
      </c>
      <c r="J16" s="219">
        <v>106110.6</v>
      </c>
      <c r="K16" s="219">
        <v>106110.6</v>
      </c>
      <c r="L16" s="219">
        <v>212221.2</v>
      </c>
      <c r="M16" s="219">
        <v>212221.2</v>
      </c>
      <c r="N16" s="219">
        <f t="shared" si="0"/>
        <v>8822201.2940336987</v>
      </c>
    </row>
    <row r="17" spans="1:14" x14ac:dyDescent="0.25">
      <c r="A17" s="563">
        <v>13</v>
      </c>
      <c r="B17" s="222" t="s">
        <v>253</v>
      </c>
      <c r="C17" s="219">
        <v>1707881.8765136399</v>
      </c>
      <c r="D17" s="219">
        <v>371387.10000000003</v>
      </c>
      <c r="E17" s="219">
        <v>636663.6</v>
      </c>
      <c r="F17" s="219">
        <v>53055.3</v>
      </c>
      <c r="G17" s="219">
        <v>159165.9</v>
      </c>
      <c r="H17" s="219">
        <v>106110.6</v>
      </c>
      <c r="I17" s="219">
        <v>477497.7</v>
      </c>
      <c r="J17" s="219">
        <v>106110.6</v>
      </c>
      <c r="K17" s="219">
        <v>106110.6</v>
      </c>
      <c r="L17" s="219">
        <v>212221.2</v>
      </c>
      <c r="M17" s="219">
        <v>0</v>
      </c>
      <c r="N17" s="219">
        <f t="shared" si="0"/>
        <v>3936204.4765136405</v>
      </c>
    </row>
    <row r="18" spans="1:14" x14ac:dyDescent="0.25">
      <c r="A18" s="563">
        <v>14</v>
      </c>
      <c r="B18" s="223" t="s">
        <v>254</v>
      </c>
      <c r="C18" s="219">
        <v>1707881.8765136399</v>
      </c>
      <c r="D18" s="219">
        <v>0</v>
      </c>
      <c r="E18" s="219">
        <v>636663.6</v>
      </c>
      <c r="F18" s="219">
        <v>53055.3</v>
      </c>
      <c r="G18" s="219">
        <v>159165.9</v>
      </c>
      <c r="H18" s="219">
        <v>106110.6</v>
      </c>
      <c r="I18" s="219">
        <v>477497.7</v>
      </c>
      <c r="J18" s="219">
        <v>106110.6</v>
      </c>
      <c r="K18" s="219">
        <v>106110.6</v>
      </c>
      <c r="L18" s="219">
        <v>212221.2</v>
      </c>
      <c r="M18" s="219">
        <v>212221.2</v>
      </c>
      <c r="N18" s="219">
        <f t="shared" si="0"/>
        <v>3777038.5765136406</v>
      </c>
    </row>
    <row r="19" spans="1:14" x14ac:dyDescent="0.25">
      <c r="A19" s="563">
        <v>15</v>
      </c>
      <c r="B19" s="222" t="s">
        <v>255</v>
      </c>
      <c r="C19" s="219">
        <v>3303310.6253555999</v>
      </c>
      <c r="D19" s="219">
        <v>371387.10000000003</v>
      </c>
      <c r="E19" s="219">
        <v>636663.6</v>
      </c>
      <c r="F19" s="219">
        <v>53055.3</v>
      </c>
      <c r="G19" s="219">
        <v>159165.9</v>
      </c>
      <c r="H19" s="219">
        <v>106110.6</v>
      </c>
      <c r="I19" s="219">
        <v>477497.7</v>
      </c>
      <c r="J19" s="219">
        <v>106110.6</v>
      </c>
      <c r="K19" s="219">
        <v>106110.6</v>
      </c>
      <c r="L19" s="219">
        <v>212221.2</v>
      </c>
      <c r="M19" s="219">
        <v>212221.2</v>
      </c>
      <c r="N19" s="219">
        <f t="shared" si="0"/>
        <v>5743854.4253555993</v>
      </c>
    </row>
    <row r="20" spans="1:14" x14ac:dyDescent="0.25">
      <c r="A20" s="563">
        <v>16</v>
      </c>
      <c r="B20" s="222" t="s">
        <v>256</v>
      </c>
      <c r="C20" s="219">
        <v>1707881.8765136399</v>
      </c>
      <c r="D20" s="219">
        <v>0</v>
      </c>
      <c r="E20" s="219">
        <v>424442.4</v>
      </c>
      <c r="F20" s="219">
        <v>53055.3</v>
      </c>
      <c r="G20" s="219">
        <v>159165.9</v>
      </c>
      <c r="H20" s="219">
        <v>106110.6</v>
      </c>
      <c r="I20" s="219">
        <v>477497.7</v>
      </c>
      <c r="J20" s="219">
        <v>106110.6</v>
      </c>
      <c r="K20" s="219">
        <v>106110.6</v>
      </c>
      <c r="L20" s="219">
        <v>212221.2</v>
      </c>
      <c r="M20" s="219">
        <v>0</v>
      </c>
      <c r="N20" s="219">
        <f t="shared" si="0"/>
        <v>3352596.1765136402</v>
      </c>
    </row>
    <row r="21" spans="1:14" x14ac:dyDescent="0.25">
      <c r="A21" s="563">
        <v>17</v>
      </c>
      <c r="B21" s="222" t="s">
        <v>257</v>
      </c>
      <c r="C21" s="219">
        <v>1707881.8765136399</v>
      </c>
      <c r="D21" s="219">
        <v>371387.10000000003</v>
      </c>
      <c r="E21" s="219">
        <v>636663.6</v>
      </c>
      <c r="F21" s="219">
        <v>53055.3</v>
      </c>
      <c r="G21" s="219">
        <v>159165.9</v>
      </c>
      <c r="H21" s="219">
        <v>106110.6</v>
      </c>
      <c r="I21" s="219">
        <v>477497.7</v>
      </c>
      <c r="J21" s="219">
        <v>106110.6</v>
      </c>
      <c r="K21" s="219">
        <v>106110.6</v>
      </c>
      <c r="L21" s="219">
        <v>212221.2</v>
      </c>
      <c r="M21" s="219">
        <v>0</v>
      </c>
      <c r="N21" s="219">
        <f t="shared" si="0"/>
        <v>3936204.4765136405</v>
      </c>
    </row>
    <row r="22" spans="1:14" x14ac:dyDescent="0.25">
      <c r="A22" s="563">
        <v>18</v>
      </c>
      <c r="B22" s="222" t="s">
        <v>258</v>
      </c>
      <c r="C22" s="219">
        <v>1707881.8765136399</v>
      </c>
      <c r="D22" s="219">
        <v>742774.20000000007</v>
      </c>
      <c r="E22" s="219">
        <v>636663.6</v>
      </c>
      <c r="F22" s="219">
        <v>53055.3</v>
      </c>
      <c r="G22" s="219">
        <v>159165.9</v>
      </c>
      <c r="H22" s="219">
        <v>106110.6</v>
      </c>
      <c r="I22" s="219">
        <v>477497.7</v>
      </c>
      <c r="J22" s="219">
        <v>106110.6</v>
      </c>
      <c r="K22" s="219">
        <v>106110.6</v>
      </c>
      <c r="L22" s="219">
        <v>212221.2</v>
      </c>
      <c r="M22" s="219">
        <v>0</v>
      </c>
      <c r="N22" s="219">
        <f t="shared" si="0"/>
        <v>4307591.5765136406</v>
      </c>
    </row>
    <row r="23" spans="1:14" x14ac:dyDescent="0.25">
      <c r="A23" s="563">
        <v>19</v>
      </c>
      <c r="B23" s="222" t="s">
        <v>259</v>
      </c>
      <c r="C23" s="219">
        <v>9371093.9726400003</v>
      </c>
      <c r="D23" s="219">
        <v>1591659</v>
      </c>
      <c r="E23" s="219">
        <v>1591659</v>
      </c>
      <c r="F23" s="219">
        <v>424442.4</v>
      </c>
      <c r="G23" s="219">
        <v>1273327.2</v>
      </c>
      <c r="H23" s="219">
        <v>106110.6</v>
      </c>
      <c r="I23" s="219">
        <v>1909990.8</v>
      </c>
      <c r="J23" s="219">
        <v>848884.8</v>
      </c>
      <c r="K23" s="219">
        <v>848884.8</v>
      </c>
      <c r="L23" s="219">
        <v>1697769.6</v>
      </c>
      <c r="M23" s="219">
        <v>424442.4</v>
      </c>
      <c r="N23" s="219">
        <f t="shared" si="0"/>
        <v>20088264.572640002</v>
      </c>
    </row>
    <row r="24" spans="1:14" x14ac:dyDescent="0.25">
      <c r="A24" s="563">
        <v>20</v>
      </c>
      <c r="B24" s="222" t="s">
        <v>260</v>
      </c>
      <c r="C24" s="219">
        <v>1707881.8765136399</v>
      </c>
      <c r="D24" s="219">
        <v>0</v>
      </c>
      <c r="E24" s="219">
        <v>636663.6</v>
      </c>
      <c r="F24" s="219">
        <v>53055.3</v>
      </c>
      <c r="G24" s="219">
        <v>159165.9</v>
      </c>
      <c r="H24" s="219">
        <v>106110.6</v>
      </c>
      <c r="I24" s="219">
        <v>477497.7</v>
      </c>
      <c r="J24" s="219">
        <v>106110.6</v>
      </c>
      <c r="K24" s="219">
        <v>106110.6</v>
      </c>
      <c r="L24" s="219">
        <v>212221.2</v>
      </c>
      <c r="M24" s="219">
        <v>0</v>
      </c>
      <c r="N24" s="219">
        <f t="shared" si="0"/>
        <v>3564817.3765136404</v>
      </c>
    </row>
    <row r="25" spans="1:14" x14ac:dyDescent="0.25">
      <c r="A25" s="563">
        <v>21</v>
      </c>
      <c r="B25" s="222" t="s">
        <v>261</v>
      </c>
      <c r="C25" s="219">
        <v>7816663.759928341</v>
      </c>
      <c r="D25" s="219">
        <v>0</v>
      </c>
      <c r="E25" s="219">
        <v>1591659</v>
      </c>
      <c r="F25" s="219">
        <v>53055.3</v>
      </c>
      <c r="G25" s="219">
        <v>159165.9</v>
      </c>
      <c r="H25" s="219">
        <v>106110.6</v>
      </c>
      <c r="I25" s="219">
        <v>477497.7</v>
      </c>
      <c r="J25" s="219">
        <v>106110.6</v>
      </c>
      <c r="K25" s="219">
        <v>106110.6</v>
      </c>
      <c r="L25" s="219">
        <v>212221.2</v>
      </c>
      <c r="M25" s="219">
        <v>212221.2</v>
      </c>
      <c r="N25" s="219">
        <f t="shared" si="0"/>
        <v>10840815.85992834</v>
      </c>
    </row>
    <row r="26" spans="1:14" x14ac:dyDescent="0.25">
      <c r="A26" s="563">
        <v>22</v>
      </c>
      <c r="B26" s="222" t="s">
        <v>262</v>
      </c>
      <c r="C26" s="219">
        <v>1707881.8765136399</v>
      </c>
      <c r="D26" s="219">
        <v>371387.10000000003</v>
      </c>
      <c r="E26" s="219">
        <v>636663.6</v>
      </c>
      <c r="F26" s="219">
        <v>53055.3</v>
      </c>
      <c r="G26" s="219">
        <v>159165.9</v>
      </c>
      <c r="H26" s="219">
        <v>106110.6</v>
      </c>
      <c r="I26" s="219">
        <v>477497.7</v>
      </c>
      <c r="J26" s="219">
        <v>106110.6</v>
      </c>
      <c r="K26" s="219">
        <v>106110.6</v>
      </c>
      <c r="L26" s="219">
        <v>212221.2</v>
      </c>
      <c r="M26" s="219">
        <v>0</v>
      </c>
      <c r="N26" s="219">
        <f t="shared" si="0"/>
        <v>3936204.4765136405</v>
      </c>
    </row>
    <row r="27" spans="1:14" x14ac:dyDescent="0.25">
      <c r="A27" s="563">
        <v>23</v>
      </c>
      <c r="B27" s="222" t="s">
        <v>263</v>
      </c>
      <c r="C27" s="219">
        <v>1707881.8765136399</v>
      </c>
      <c r="D27" s="219">
        <v>0</v>
      </c>
      <c r="E27" s="219">
        <v>424442.4</v>
      </c>
      <c r="F27" s="219">
        <v>53055.3</v>
      </c>
      <c r="G27" s="219">
        <v>159165.9</v>
      </c>
      <c r="H27" s="219">
        <v>106110.6</v>
      </c>
      <c r="I27" s="219">
        <v>477497.7</v>
      </c>
      <c r="J27" s="219">
        <v>106110.6</v>
      </c>
      <c r="K27" s="219">
        <v>106110.6</v>
      </c>
      <c r="L27" s="219">
        <v>212221.2</v>
      </c>
      <c r="M27" s="219">
        <v>0</v>
      </c>
      <c r="N27" s="219">
        <f t="shared" si="0"/>
        <v>3352596.1765136402</v>
      </c>
    </row>
    <row r="28" spans="1:14" x14ac:dyDescent="0.25">
      <c r="A28" s="563">
        <v>24</v>
      </c>
      <c r="B28" s="222" t="s">
        <v>264</v>
      </c>
      <c r="C28" s="219">
        <v>1707881.8765136399</v>
      </c>
      <c r="D28" s="219">
        <v>371387.10000000003</v>
      </c>
      <c r="E28" s="219">
        <v>636663.6</v>
      </c>
      <c r="F28" s="219">
        <v>53055.3</v>
      </c>
      <c r="G28" s="219">
        <v>159165.9</v>
      </c>
      <c r="H28" s="219">
        <v>106110.6</v>
      </c>
      <c r="I28" s="219">
        <v>477497.7</v>
      </c>
      <c r="J28" s="219">
        <v>106110.6</v>
      </c>
      <c r="K28" s="219">
        <v>106110.6</v>
      </c>
      <c r="L28" s="219">
        <v>212221.2</v>
      </c>
      <c r="M28" s="219">
        <v>212221.2</v>
      </c>
      <c r="N28" s="219">
        <f t="shared" si="0"/>
        <v>4148425.6765136407</v>
      </c>
    </row>
    <row r="29" spans="1:14" x14ac:dyDescent="0.25">
      <c r="A29" s="563">
        <v>25</v>
      </c>
      <c r="B29" s="222" t="s">
        <v>265</v>
      </c>
      <c r="C29" s="219">
        <v>9371093.9726400003</v>
      </c>
      <c r="D29" s="219">
        <v>1591659</v>
      </c>
      <c r="E29" s="219">
        <v>1591659</v>
      </c>
      <c r="F29" s="219">
        <v>424442.4</v>
      </c>
      <c r="G29" s="219">
        <v>1273327.2</v>
      </c>
      <c r="H29" s="219">
        <v>106110.6</v>
      </c>
      <c r="I29" s="219">
        <v>1909990.8</v>
      </c>
      <c r="J29" s="219">
        <v>848884.8</v>
      </c>
      <c r="K29" s="219">
        <v>848884.8</v>
      </c>
      <c r="L29" s="219">
        <v>1697769.6</v>
      </c>
      <c r="M29" s="219">
        <v>424442.4</v>
      </c>
      <c r="N29" s="219">
        <f t="shared" si="0"/>
        <v>20088264.572640002</v>
      </c>
    </row>
    <row r="30" spans="1:14" x14ac:dyDescent="0.25">
      <c r="A30" s="563">
        <v>26</v>
      </c>
      <c r="B30" s="222" t="s">
        <v>266</v>
      </c>
      <c r="C30" s="219">
        <v>1707881.8765136399</v>
      </c>
      <c r="D30" s="219">
        <v>0</v>
      </c>
      <c r="E30" s="219">
        <v>212221.2</v>
      </c>
      <c r="F30" s="219">
        <v>53055.3</v>
      </c>
      <c r="G30" s="219">
        <v>159165.9</v>
      </c>
      <c r="H30" s="219">
        <v>106110.6</v>
      </c>
      <c r="I30" s="219">
        <v>477497.7</v>
      </c>
      <c r="J30" s="219">
        <v>106110.6</v>
      </c>
      <c r="K30" s="219">
        <v>106110.6</v>
      </c>
      <c r="L30" s="219">
        <v>212221.2</v>
      </c>
      <c r="M30" s="219">
        <v>0</v>
      </c>
      <c r="N30" s="219">
        <f t="shared" si="0"/>
        <v>3140374.9765136405</v>
      </c>
    </row>
    <row r="31" spans="1:14" x14ac:dyDescent="0.25">
      <c r="A31" s="563">
        <v>27</v>
      </c>
      <c r="B31" s="222" t="s">
        <v>267</v>
      </c>
      <c r="C31" s="219">
        <v>2267804.7413788796</v>
      </c>
      <c r="D31" s="219">
        <v>742774.20000000007</v>
      </c>
      <c r="E31" s="219">
        <v>636663.6</v>
      </c>
      <c r="F31" s="219">
        <v>53055.3</v>
      </c>
      <c r="G31" s="219">
        <v>159165.9</v>
      </c>
      <c r="H31" s="219">
        <v>106110.6</v>
      </c>
      <c r="I31" s="219">
        <v>477497.7</v>
      </c>
      <c r="J31" s="219">
        <v>106110.6</v>
      </c>
      <c r="K31" s="219">
        <v>106110.6</v>
      </c>
      <c r="L31" s="219">
        <v>212221.2</v>
      </c>
      <c r="M31" s="219">
        <v>212221.2</v>
      </c>
      <c r="N31" s="219">
        <f t="shared" si="0"/>
        <v>5079735.6413788795</v>
      </c>
    </row>
    <row r="32" spans="1:14" x14ac:dyDescent="0.25">
      <c r="A32" s="563">
        <v>28</v>
      </c>
      <c r="B32" s="222" t="s">
        <v>268</v>
      </c>
      <c r="C32" s="219">
        <v>31627442.157660004</v>
      </c>
      <c r="D32" s="219">
        <v>742774.20000000007</v>
      </c>
      <c r="E32" s="219">
        <v>636663.6</v>
      </c>
      <c r="F32" s="219">
        <v>53055.3</v>
      </c>
      <c r="G32" s="219">
        <v>159165.9</v>
      </c>
      <c r="H32" s="219">
        <v>106110.6</v>
      </c>
      <c r="I32" s="219">
        <v>477497.7</v>
      </c>
      <c r="J32" s="219">
        <v>106110.6</v>
      </c>
      <c r="K32" s="219">
        <v>106110.6</v>
      </c>
      <c r="L32" s="219">
        <v>212221.2</v>
      </c>
      <c r="M32" s="219">
        <v>0</v>
      </c>
      <c r="N32" s="219">
        <f t="shared" si="0"/>
        <v>34227151.85766001</v>
      </c>
    </row>
    <row r="33" spans="1:14" x14ac:dyDescent="0.25">
      <c r="A33" s="563">
        <v>29</v>
      </c>
      <c r="B33" s="222" t="s">
        <v>269</v>
      </c>
      <c r="C33" s="219">
        <v>1707881.8765136399</v>
      </c>
      <c r="D33" s="219">
        <v>371387.10000000003</v>
      </c>
      <c r="E33" s="219">
        <v>424442.4</v>
      </c>
      <c r="F33" s="219">
        <v>53055.3</v>
      </c>
      <c r="G33" s="219">
        <v>159165.9</v>
      </c>
      <c r="H33" s="219">
        <v>106110.6</v>
      </c>
      <c r="I33" s="219">
        <v>477497.7</v>
      </c>
      <c r="J33" s="219">
        <v>106110.6</v>
      </c>
      <c r="K33" s="219">
        <v>106110.6</v>
      </c>
      <c r="L33" s="219">
        <v>212221.2</v>
      </c>
      <c r="M33" s="219">
        <v>212221.2</v>
      </c>
      <c r="N33" s="219">
        <f t="shared" si="0"/>
        <v>3936204.4765136405</v>
      </c>
    </row>
    <row r="34" spans="1:14" x14ac:dyDescent="0.25">
      <c r="A34" s="563">
        <v>30</v>
      </c>
      <c r="B34" s="222" t="s">
        <v>270</v>
      </c>
      <c r="C34" s="219">
        <v>1707881.8765136399</v>
      </c>
      <c r="D34" s="219">
        <v>371387.10000000003</v>
      </c>
      <c r="E34" s="219">
        <v>848884.8</v>
      </c>
      <c r="F34" s="219">
        <v>53055.3</v>
      </c>
      <c r="G34" s="219">
        <v>159165.9</v>
      </c>
      <c r="H34" s="219">
        <v>106110.6</v>
      </c>
      <c r="I34" s="219">
        <v>477497.7</v>
      </c>
      <c r="J34" s="219">
        <v>106110.6</v>
      </c>
      <c r="K34" s="219">
        <v>106110.6</v>
      </c>
      <c r="L34" s="219">
        <v>212221.2</v>
      </c>
      <c r="M34" s="219">
        <v>212221.2</v>
      </c>
      <c r="N34" s="219">
        <f t="shared" si="0"/>
        <v>4360646.8765136404</v>
      </c>
    </row>
    <row r="35" spans="1:14" x14ac:dyDescent="0.25">
      <c r="A35" s="563">
        <v>31</v>
      </c>
      <c r="B35" s="222" t="s">
        <v>271</v>
      </c>
      <c r="C35" s="219">
        <v>1707881.8765136399</v>
      </c>
      <c r="D35" s="219">
        <v>371387.10000000003</v>
      </c>
      <c r="E35" s="219">
        <v>636663.6</v>
      </c>
      <c r="F35" s="219">
        <v>53055.3</v>
      </c>
      <c r="G35" s="219">
        <v>159165.9</v>
      </c>
      <c r="H35" s="219">
        <v>106110.6</v>
      </c>
      <c r="I35" s="219">
        <v>477497.7</v>
      </c>
      <c r="J35" s="219">
        <v>106110.6</v>
      </c>
      <c r="K35" s="219">
        <v>106110.6</v>
      </c>
      <c r="L35" s="219">
        <v>212221.2</v>
      </c>
      <c r="M35" s="219">
        <v>212221.2</v>
      </c>
      <c r="N35" s="219">
        <f t="shared" si="0"/>
        <v>4148425.6765136407</v>
      </c>
    </row>
    <row r="36" spans="1:14" x14ac:dyDescent="0.25">
      <c r="A36" s="662"/>
      <c r="B36" s="663"/>
      <c r="C36" s="633"/>
      <c r="D36" s="633"/>
      <c r="E36" s="633"/>
      <c r="F36" s="633"/>
      <c r="G36" s="633"/>
      <c r="H36" s="633"/>
      <c r="I36" s="633"/>
      <c r="J36" s="633"/>
      <c r="K36" s="633"/>
      <c r="L36" s="633"/>
      <c r="M36" s="633"/>
      <c r="N36" s="633"/>
    </row>
    <row r="37" spans="1:14" x14ac:dyDescent="0.25">
      <c r="A37" s="664"/>
      <c r="B37" s="665"/>
      <c r="C37" s="636"/>
      <c r="D37" s="636"/>
      <c r="E37" s="636"/>
      <c r="F37" s="636"/>
      <c r="G37" s="636"/>
      <c r="H37" s="636"/>
      <c r="I37" s="636"/>
      <c r="J37" s="636"/>
      <c r="K37" s="636"/>
      <c r="L37" s="636"/>
      <c r="M37" s="636"/>
      <c r="N37" s="636"/>
    </row>
    <row r="38" spans="1:14" x14ac:dyDescent="0.25">
      <c r="A38" s="664"/>
      <c r="B38" s="665"/>
      <c r="C38" s="636"/>
      <c r="D38" s="636"/>
      <c r="E38" s="636"/>
      <c r="F38" s="636"/>
      <c r="G38" s="636"/>
      <c r="H38" s="636"/>
      <c r="I38" s="636"/>
      <c r="J38" s="636"/>
      <c r="K38" s="636"/>
      <c r="L38" s="636"/>
      <c r="M38" s="636"/>
      <c r="N38" s="636"/>
    </row>
    <row r="39" spans="1:14" x14ac:dyDescent="0.25">
      <c r="A39" s="664"/>
      <c r="B39" s="665"/>
      <c r="C39" s="636"/>
      <c r="D39" s="636"/>
      <c r="E39" s="636"/>
      <c r="F39" s="636"/>
      <c r="G39" s="636"/>
      <c r="H39" s="636"/>
      <c r="I39" s="636"/>
      <c r="J39" s="636"/>
      <c r="K39" s="636"/>
      <c r="L39" s="636"/>
      <c r="M39" s="636"/>
      <c r="N39" s="636"/>
    </row>
    <row r="40" spans="1:14" x14ac:dyDescent="0.25">
      <c r="A40" s="563">
        <v>32</v>
      </c>
      <c r="B40" s="222" t="s">
        <v>272</v>
      </c>
      <c r="C40" s="219">
        <v>702832.0479479999</v>
      </c>
      <c r="D40" s="219">
        <v>0</v>
      </c>
      <c r="E40" s="219">
        <v>424442.4</v>
      </c>
      <c r="F40" s="219">
        <v>53055.3</v>
      </c>
      <c r="G40" s="219">
        <v>159165.9</v>
      </c>
      <c r="H40" s="219">
        <v>106110.6</v>
      </c>
      <c r="I40" s="219">
        <v>477497.7</v>
      </c>
      <c r="J40" s="219">
        <v>106110.6</v>
      </c>
      <c r="K40" s="219">
        <v>106110.6</v>
      </c>
      <c r="L40" s="219">
        <v>212221.2</v>
      </c>
      <c r="M40" s="219">
        <v>0</v>
      </c>
      <c r="N40" s="219">
        <f t="shared" si="0"/>
        <v>2347546.3479480003</v>
      </c>
    </row>
    <row r="41" spans="1:14" x14ac:dyDescent="0.25">
      <c r="A41" s="563">
        <v>33</v>
      </c>
      <c r="B41" s="222" t="s">
        <v>273</v>
      </c>
      <c r="C41" s="219">
        <v>8817028.0415076613</v>
      </c>
      <c r="D41" s="219">
        <v>371387.10000000003</v>
      </c>
      <c r="E41" s="219">
        <v>636663.6</v>
      </c>
      <c r="F41" s="219">
        <v>53055.3</v>
      </c>
      <c r="G41" s="219">
        <v>159165.9</v>
      </c>
      <c r="H41" s="219">
        <v>106110.6</v>
      </c>
      <c r="I41" s="219">
        <v>477497.7</v>
      </c>
      <c r="J41" s="219">
        <v>106110.6</v>
      </c>
      <c r="K41" s="219">
        <v>106110.6</v>
      </c>
      <c r="L41" s="219">
        <v>212221.2</v>
      </c>
      <c r="M41" s="219">
        <v>212221.2</v>
      </c>
      <c r="N41" s="219">
        <f t="shared" si="0"/>
        <v>11257571.841507658</v>
      </c>
    </row>
    <row r="42" spans="1:14" x14ac:dyDescent="0.25">
      <c r="A42" s="563">
        <v>34</v>
      </c>
      <c r="B42" s="222" t="s">
        <v>274</v>
      </c>
      <c r="C42" s="219">
        <v>7848291.2020860016</v>
      </c>
      <c r="D42" s="219">
        <v>371387.10000000003</v>
      </c>
      <c r="E42" s="219">
        <v>636663.6</v>
      </c>
      <c r="F42" s="219">
        <v>53055.3</v>
      </c>
      <c r="G42" s="219">
        <v>159165.9</v>
      </c>
      <c r="H42" s="219">
        <v>106110.6</v>
      </c>
      <c r="I42" s="219">
        <v>477497.7</v>
      </c>
      <c r="J42" s="219">
        <v>106110.6</v>
      </c>
      <c r="K42" s="219">
        <v>106110.6</v>
      </c>
      <c r="L42" s="219">
        <v>212221.2</v>
      </c>
      <c r="M42" s="219">
        <v>0</v>
      </c>
      <c r="N42" s="219">
        <f t="shared" si="0"/>
        <v>10076613.802085999</v>
      </c>
    </row>
    <row r="43" spans="1:14" x14ac:dyDescent="0.25">
      <c r="A43" s="563">
        <v>35</v>
      </c>
      <c r="B43" s="222" t="s">
        <v>275</v>
      </c>
      <c r="C43" s="219">
        <v>3303310.6253555999</v>
      </c>
      <c r="D43" s="219">
        <v>742774.20000000007</v>
      </c>
      <c r="E43" s="219">
        <v>636663.6</v>
      </c>
      <c r="F43" s="219">
        <v>53055.3</v>
      </c>
      <c r="G43" s="219">
        <v>159165.9</v>
      </c>
      <c r="H43" s="219">
        <v>106110.6</v>
      </c>
      <c r="I43" s="219">
        <v>477497.7</v>
      </c>
      <c r="J43" s="219">
        <v>106110.6</v>
      </c>
      <c r="K43" s="219">
        <v>106110.6</v>
      </c>
      <c r="L43" s="219">
        <v>212221.2</v>
      </c>
      <c r="M43" s="219">
        <v>0</v>
      </c>
      <c r="N43" s="219">
        <f t="shared" si="0"/>
        <v>5903020.3253555996</v>
      </c>
    </row>
    <row r="44" spans="1:14" x14ac:dyDescent="0.25">
      <c r="A44" s="563">
        <v>36</v>
      </c>
      <c r="B44" s="222" t="s">
        <v>296</v>
      </c>
      <c r="C44" s="219">
        <v>7848291.2020860016</v>
      </c>
      <c r="D44" s="219">
        <v>1591659</v>
      </c>
      <c r="E44" s="219">
        <v>1591659</v>
      </c>
      <c r="F44" s="219">
        <v>424442.4</v>
      </c>
      <c r="G44" s="219">
        <v>1273327.2</v>
      </c>
      <c r="H44" s="219">
        <v>106110.6</v>
      </c>
      <c r="I44" s="219">
        <v>1909990.8</v>
      </c>
      <c r="J44" s="219">
        <v>848884.8</v>
      </c>
      <c r="K44" s="219">
        <v>848884.8</v>
      </c>
      <c r="L44" s="219">
        <v>1697769.6</v>
      </c>
      <c r="M44" s="219">
        <v>424442.4</v>
      </c>
      <c r="N44" s="219">
        <f t="shared" si="0"/>
        <v>18565461.802086003</v>
      </c>
    </row>
    <row r="45" spans="1:14" x14ac:dyDescent="0.25">
      <c r="A45" s="563">
        <v>37</v>
      </c>
      <c r="B45" s="222" t="s">
        <v>277</v>
      </c>
      <c r="C45" s="219">
        <v>6753044.5940337004</v>
      </c>
      <c r="D45" s="219">
        <v>1591659</v>
      </c>
      <c r="E45" s="219">
        <v>1591659</v>
      </c>
      <c r="F45" s="219">
        <v>424442.4</v>
      </c>
      <c r="G45" s="219">
        <v>1273327.2</v>
      </c>
      <c r="H45" s="219">
        <v>106110.6</v>
      </c>
      <c r="I45" s="219">
        <v>1909990.8</v>
      </c>
      <c r="J45" s="219">
        <v>848884.8</v>
      </c>
      <c r="K45" s="219">
        <v>848884.8</v>
      </c>
      <c r="L45" s="219">
        <v>1697769.6</v>
      </c>
      <c r="M45" s="219">
        <v>424442.4</v>
      </c>
      <c r="N45" s="219">
        <f t="shared" si="0"/>
        <v>17470215.194033701</v>
      </c>
    </row>
    <row r="46" spans="1:14" x14ac:dyDescent="0.25">
      <c r="A46" s="563">
        <v>38</v>
      </c>
      <c r="B46" s="222" t="s">
        <v>278</v>
      </c>
      <c r="C46" s="219">
        <v>37484375.890560001</v>
      </c>
      <c r="D46" s="219">
        <v>1591659</v>
      </c>
      <c r="E46" s="219">
        <v>1591659</v>
      </c>
      <c r="F46" s="219">
        <v>424442.4</v>
      </c>
      <c r="G46" s="219">
        <v>1273327.2</v>
      </c>
      <c r="H46" s="219">
        <v>106110.6</v>
      </c>
      <c r="I46" s="219">
        <v>1909990.8</v>
      </c>
      <c r="J46" s="219">
        <v>848884.8</v>
      </c>
      <c r="K46" s="219">
        <v>848884.8</v>
      </c>
      <c r="L46" s="219">
        <v>1697769.6</v>
      </c>
      <c r="M46" s="219">
        <v>424442.4</v>
      </c>
      <c r="N46" s="219">
        <f t="shared" si="0"/>
        <v>48201546.490559995</v>
      </c>
    </row>
    <row r="47" spans="1:14" x14ac:dyDescent="0.25">
      <c r="A47" s="563">
        <v>39</v>
      </c>
      <c r="B47" s="223" t="s">
        <v>279</v>
      </c>
      <c r="C47" s="219">
        <v>702832.0479479999</v>
      </c>
      <c r="D47" s="219">
        <v>0</v>
      </c>
      <c r="E47" s="219">
        <v>742774.20000000007</v>
      </c>
      <c r="F47" s="219">
        <v>53055.3</v>
      </c>
      <c r="G47" s="219">
        <v>159165.9</v>
      </c>
      <c r="H47" s="219">
        <v>106110.6</v>
      </c>
      <c r="I47" s="219">
        <v>1909990.8</v>
      </c>
      <c r="J47" s="219">
        <v>106110.6</v>
      </c>
      <c r="K47" s="219">
        <v>106110.6</v>
      </c>
      <c r="L47" s="219">
        <v>212221.2</v>
      </c>
      <c r="M47" s="219">
        <v>0</v>
      </c>
      <c r="N47" s="219">
        <f t="shared" si="0"/>
        <v>4098371.2479480002</v>
      </c>
    </row>
    <row r="48" spans="1:14" x14ac:dyDescent="0.25">
      <c r="A48" s="563">
        <v>40</v>
      </c>
      <c r="B48" s="222" t="s">
        <v>280</v>
      </c>
      <c r="C48" s="219">
        <v>29284668.664500002</v>
      </c>
      <c r="D48" s="219">
        <v>0</v>
      </c>
      <c r="E48" s="219">
        <v>742774.20000000007</v>
      </c>
      <c r="F48" s="219">
        <v>424442.4</v>
      </c>
      <c r="G48" s="219">
        <v>1273327.2</v>
      </c>
      <c r="H48" s="219">
        <v>106110.6</v>
      </c>
      <c r="I48" s="219">
        <v>477497.7</v>
      </c>
      <c r="J48" s="219">
        <v>848884.8</v>
      </c>
      <c r="K48" s="219">
        <v>848884.8</v>
      </c>
      <c r="L48" s="219">
        <v>1697769.6</v>
      </c>
      <c r="M48" s="219">
        <v>0</v>
      </c>
      <c r="N48" s="219">
        <f t="shared" si="0"/>
        <v>35704359.964500003</v>
      </c>
    </row>
    <row r="49" spans="1:14" x14ac:dyDescent="0.25">
      <c r="A49" s="1024" t="s">
        <v>297</v>
      </c>
      <c r="B49" s="1024"/>
      <c r="C49" s="224">
        <f>SUM(C5:C48)</f>
        <v>235025865.44706467</v>
      </c>
      <c r="D49" s="224">
        <f t="shared" ref="D49:M49" si="1">SUM(D5:D48)</f>
        <v>20797677.599999994</v>
      </c>
      <c r="E49" s="224">
        <f t="shared" si="1"/>
        <v>30347631.600000001</v>
      </c>
      <c r="F49" s="224">
        <f t="shared" si="1"/>
        <v>4721921.6999999993</v>
      </c>
      <c r="G49" s="224">
        <f t="shared" si="1"/>
        <v>14165765.100000001</v>
      </c>
      <c r="H49" s="224">
        <f t="shared" si="1"/>
        <v>4244424.0000000028</v>
      </c>
      <c r="I49" s="224">
        <f t="shared" si="1"/>
        <v>29127359.699999992</v>
      </c>
      <c r="J49" s="224">
        <f t="shared" si="1"/>
        <v>9443843.3999999985</v>
      </c>
      <c r="K49" s="224">
        <f t="shared" si="1"/>
        <v>9443843.3999999985</v>
      </c>
      <c r="L49" s="224">
        <f t="shared" si="1"/>
        <v>18887686.799999997</v>
      </c>
      <c r="M49" s="224">
        <f t="shared" si="1"/>
        <v>6154414.8000000026</v>
      </c>
      <c r="N49" s="219">
        <f t="shared" si="0"/>
        <v>382360433.54706466</v>
      </c>
    </row>
    <row r="50" spans="1:14" x14ac:dyDescent="0.25">
      <c r="A50" s="666"/>
      <c r="B50" s="667"/>
      <c r="C50" s="667"/>
      <c r="D50" s="667"/>
      <c r="E50" s="667"/>
      <c r="F50" s="667"/>
      <c r="G50" s="668"/>
      <c r="H50" s="1020" t="s">
        <v>159</v>
      </c>
      <c r="I50" s="1021"/>
      <c r="J50" s="1021"/>
      <c r="K50" s="1021"/>
      <c r="L50" s="1021"/>
      <c r="M50" s="1022"/>
      <c r="N50" s="224">
        <f>N49*0.16</f>
        <v>61177669.367530346</v>
      </c>
    </row>
    <row r="51" spans="1:14" x14ac:dyDescent="0.25">
      <c r="A51" s="669"/>
      <c r="B51" s="221"/>
      <c r="C51" s="221"/>
      <c r="D51" s="221"/>
      <c r="E51" s="221"/>
      <c r="F51" s="221"/>
      <c r="G51" s="670"/>
      <c r="H51" s="1020" t="s">
        <v>298</v>
      </c>
      <c r="I51" s="1021"/>
      <c r="J51" s="1021"/>
      <c r="K51" s="1021"/>
      <c r="L51" s="1021"/>
      <c r="M51" s="1022"/>
      <c r="N51" s="224">
        <f>SUM(N49:N50)</f>
        <v>443538102.91459501</v>
      </c>
    </row>
  </sheetData>
  <mergeCells count="4">
    <mergeCell ref="A3:N3"/>
    <mergeCell ref="A49:B49"/>
    <mergeCell ref="H50:M50"/>
    <mergeCell ref="H51:M51"/>
  </mergeCells>
  <pageMargins left="1.57" right="0.7" top="0.75" bottom="0.75" header="0.3" footer="0.3"/>
  <pageSetup paperSize="5" scale="8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Q53"/>
  <sheetViews>
    <sheetView view="pageLayout" zoomScale="85" zoomScalePageLayoutView="85" workbookViewId="0">
      <selection activeCell="B3" sqref="B3:Q53"/>
    </sheetView>
  </sheetViews>
  <sheetFormatPr baseColWidth="10" defaultRowHeight="12" x14ac:dyDescent="0.2"/>
  <cols>
    <col min="1" max="1" width="11.42578125" style="159"/>
    <col min="2" max="2" width="4.85546875" style="236" customWidth="1"/>
    <col min="3" max="3" width="20.7109375" style="237" customWidth="1"/>
    <col min="4" max="4" width="11.42578125" style="159" customWidth="1"/>
    <col min="5" max="5" width="10.5703125" style="159" customWidth="1"/>
    <col min="6" max="6" width="10.7109375" style="159" customWidth="1"/>
    <col min="7" max="7" width="11.42578125" style="159" customWidth="1"/>
    <col min="8" max="8" width="11.140625" style="159" customWidth="1"/>
    <col min="9" max="9" width="10.85546875" style="159" customWidth="1"/>
    <col min="10" max="10" width="12" style="159" customWidth="1"/>
    <col min="11" max="11" width="10.7109375" style="159" customWidth="1"/>
    <col min="12" max="12" width="10.85546875" style="159" customWidth="1"/>
    <col min="13" max="13" width="11.140625" style="159" customWidth="1"/>
    <col min="14" max="15" width="10.7109375" style="159" customWidth="1"/>
    <col min="16" max="16" width="11" style="159" customWidth="1"/>
    <col min="17" max="17" width="14.7109375" style="159" bestFit="1" customWidth="1"/>
    <col min="18" max="16384" width="11.42578125" style="159"/>
  </cols>
  <sheetData>
    <row r="1" spans="2:17" x14ac:dyDescent="0.2">
      <c r="B1" s="562"/>
      <c r="C1" s="673"/>
      <c r="D1" s="226"/>
      <c r="E1" s="226"/>
      <c r="F1" s="226"/>
      <c r="G1" s="226"/>
      <c r="H1" s="226"/>
      <c r="I1" s="226"/>
      <c r="J1" s="226"/>
      <c r="K1" s="226"/>
      <c r="L1" s="226"/>
      <c r="M1" s="226"/>
      <c r="N1" s="226"/>
      <c r="O1" s="226"/>
      <c r="P1" s="226"/>
      <c r="Q1" s="226"/>
    </row>
    <row r="2" spans="2:17" x14ac:dyDescent="0.2">
      <c r="B2" s="562"/>
      <c r="C2" s="673"/>
      <c r="D2" s="226"/>
      <c r="E2" s="226"/>
      <c r="F2" s="226"/>
      <c r="G2" s="226"/>
      <c r="H2" s="226"/>
      <c r="I2" s="226"/>
      <c r="J2" s="226"/>
      <c r="K2" s="226"/>
      <c r="L2" s="226"/>
      <c r="M2" s="226"/>
      <c r="N2" s="226"/>
      <c r="O2" s="226"/>
      <c r="P2" s="226"/>
      <c r="Q2" s="226"/>
    </row>
    <row r="3" spans="2:17" ht="21.75" customHeight="1" x14ac:dyDescent="0.2">
      <c r="B3" s="945" t="s">
        <v>1418</v>
      </c>
      <c r="C3" s="946"/>
      <c r="D3" s="946"/>
      <c r="E3" s="946"/>
      <c r="F3" s="946"/>
      <c r="G3" s="946"/>
      <c r="H3" s="946"/>
      <c r="I3" s="946"/>
      <c r="J3" s="946"/>
      <c r="K3" s="946"/>
      <c r="L3" s="946"/>
      <c r="M3" s="946"/>
      <c r="N3" s="946"/>
      <c r="O3" s="946"/>
      <c r="P3" s="946"/>
      <c r="Q3" s="947"/>
    </row>
    <row r="4" spans="2:17" s="229" customFormat="1" ht="124.5" customHeight="1" x14ac:dyDescent="0.25">
      <c r="B4" s="227" t="s">
        <v>346</v>
      </c>
      <c r="C4" s="741" t="s">
        <v>287</v>
      </c>
      <c r="D4" s="227" t="s">
        <v>612</v>
      </c>
      <c r="E4" s="741" t="s">
        <v>1892</v>
      </c>
      <c r="F4" s="227" t="s">
        <v>613</v>
      </c>
      <c r="G4" s="741" t="s">
        <v>614</v>
      </c>
      <c r="H4" s="227" t="s">
        <v>615</v>
      </c>
      <c r="I4" s="227" t="s">
        <v>615</v>
      </c>
      <c r="J4" s="741" t="s">
        <v>616</v>
      </c>
      <c r="K4" s="227" t="s">
        <v>617</v>
      </c>
      <c r="L4" s="227" t="s">
        <v>618</v>
      </c>
      <c r="M4" s="227" t="s">
        <v>619</v>
      </c>
      <c r="N4" s="227" t="s">
        <v>620</v>
      </c>
      <c r="O4" s="227" t="s">
        <v>621</v>
      </c>
      <c r="P4" s="227" t="s">
        <v>621</v>
      </c>
      <c r="Q4" s="227" t="s">
        <v>454</v>
      </c>
    </row>
    <row r="5" spans="2:17" s="226" customFormat="1" ht="22.5" customHeight="1" x14ac:dyDescent="0.25">
      <c r="B5" s="230">
        <v>1</v>
      </c>
      <c r="C5" s="231" t="s">
        <v>241</v>
      </c>
      <c r="D5" s="219">
        <v>282456.90000000002</v>
      </c>
      <c r="E5" s="219">
        <v>235380.90450000003</v>
      </c>
      <c r="F5" s="219">
        <v>222991.91</v>
      </c>
      <c r="G5" s="219">
        <v>238239.30900000004</v>
      </c>
      <c r="H5" s="219">
        <v>247769.48700000002</v>
      </c>
      <c r="I5" s="219">
        <v>114694.15650000001</v>
      </c>
      <c r="J5" s="219">
        <v>673809.10800000001</v>
      </c>
      <c r="K5" s="219">
        <v>52032.046500000004</v>
      </c>
      <c r="L5" s="219">
        <v>75119.908500000005</v>
      </c>
      <c r="M5" s="219">
        <v>165261.85199999998</v>
      </c>
      <c r="N5" s="219">
        <v>14866.299000000001</v>
      </c>
      <c r="O5" s="219">
        <v>44598.897000000004</v>
      </c>
      <c r="P5" s="219">
        <v>143727.02400000003</v>
      </c>
      <c r="Q5" s="219">
        <f>SUM(D5:P5)</f>
        <v>2510947.8020000001</v>
      </c>
    </row>
    <row r="6" spans="2:17" s="226" customFormat="1" ht="22.5" customHeight="1" x14ac:dyDescent="0.25">
      <c r="B6" s="230">
        <v>2</v>
      </c>
      <c r="C6" s="231" t="s">
        <v>242</v>
      </c>
      <c r="D6" s="219">
        <v>425172.67</v>
      </c>
      <c r="E6" s="219">
        <v>235380.90450000003</v>
      </c>
      <c r="F6" s="219">
        <v>200692.41</v>
      </c>
      <c r="G6" s="219">
        <v>0</v>
      </c>
      <c r="H6" s="219">
        <v>247769.48700000002</v>
      </c>
      <c r="I6" s="219">
        <v>114694.15650000001</v>
      </c>
      <c r="J6" s="219">
        <v>673809.10800000001</v>
      </c>
      <c r="K6" s="219">
        <v>52032.046500000004</v>
      </c>
      <c r="L6" s="219">
        <v>75119.908500000005</v>
      </c>
      <c r="M6" s="219">
        <v>165261.85199999998</v>
      </c>
      <c r="N6" s="219">
        <v>14866.299000000001</v>
      </c>
      <c r="O6" s="219">
        <v>44598.897000000004</v>
      </c>
      <c r="P6" s="219">
        <v>143727.02400000003</v>
      </c>
      <c r="Q6" s="219">
        <f t="shared" ref="Q6:Q48" si="0">SUM(D6:P6)</f>
        <v>2393124.7630000003</v>
      </c>
    </row>
    <row r="7" spans="2:17" s="226" customFormat="1" ht="22.5" customHeight="1" x14ac:dyDescent="0.25">
      <c r="B7" s="230">
        <v>3</v>
      </c>
      <c r="C7" s="231" t="s">
        <v>243</v>
      </c>
      <c r="D7" s="219">
        <v>212586.12900000002</v>
      </c>
      <c r="E7" s="219">
        <v>0</v>
      </c>
      <c r="F7" s="219">
        <v>111496.47</v>
      </c>
      <c r="G7" s="219">
        <v>0</v>
      </c>
      <c r="H7" s="219">
        <v>247769.48700000002</v>
      </c>
      <c r="I7" s="219">
        <v>114694.15650000001</v>
      </c>
      <c r="J7" s="219">
        <v>0</v>
      </c>
      <c r="K7" s="219">
        <v>52032.046500000004</v>
      </c>
      <c r="L7" s="219">
        <v>75119.908500000005</v>
      </c>
      <c r="M7" s="219">
        <v>165261.85199999998</v>
      </c>
      <c r="N7" s="219">
        <v>14866.299000000001</v>
      </c>
      <c r="O7" s="219">
        <v>44598.897000000004</v>
      </c>
      <c r="P7" s="219">
        <v>143727.02400000003</v>
      </c>
      <c r="Q7" s="219">
        <f t="shared" si="0"/>
        <v>1182152.2695000002</v>
      </c>
    </row>
    <row r="8" spans="2:17" s="226" customFormat="1" ht="22.5" customHeight="1" x14ac:dyDescent="0.25">
      <c r="B8" s="230">
        <v>4</v>
      </c>
      <c r="C8" s="231" t="s">
        <v>244</v>
      </c>
      <c r="D8" s="219">
        <v>212586.12900000002</v>
      </c>
      <c r="E8" s="219">
        <v>0</v>
      </c>
      <c r="F8" s="219">
        <v>111496.47</v>
      </c>
      <c r="G8" s="219">
        <v>0</v>
      </c>
      <c r="H8" s="219">
        <v>247769.48700000002</v>
      </c>
      <c r="I8" s="219">
        <v>114694.15650000001</v>
      </c>
      <c r="J8" s="219">
        <v>673809.10800000001</v>
      </c>
      <c r="K8" s="219">
        <v>52032.046500000004</v>
      </c>
      <c r="L8" s="219">
        <v>75119.908500000005</v>
      </c>
      <c r="M8" s="219">
        <v>165261.85199999998</v>
      </c>
      <c r="N8" s="219">
        <v>14866.299000000001</v>
      </c>
      <c r="O8" s="219">
        <v>44598.897000000004</v>
      </c>
      <c r="P8" s="219">
        <v>143727.02400000003</v>
      </c>
      <c r="Q8" s="219">
        <f t="shared" si="0"/>
        <v>1855961.3775000002</v>
      </c>
    </row>
    <row r="9" spans="2:17" s="226" customFormat="1" ht="22.5" customHeight="1" x14ac:dyDescent="0.25">
      <c r="B9" s="230">
        <v>5</v>
      </c>
      <c r="C9" s="231" t="s">
        <v>245</v>
      </c>
      <c r="D9" s="219">
        <v>212586.12900000002</v>
      </c>
      <c r="E9" s="219">
        <v>0</v>
      </c>
      <c r="F9" s="219">
        <v>0</v>
      </c>
      <c r="G9" s="219">
        <v>0</v>
      </c>
      <c r="H9" s="219">
        <v>247769.48700000002</v>
      </c>
      <c r="I9" s="219">
        <v>114694.15650000001</v>
      </c>
      <c r="J9" s="219">
        <v>673809.10800000001</v>
      </c>
      <c r="K9" s="219">
        <v>52032.046500000004</v>
      </c>
      <c r="L9" s="219">
        <v>75119.908500000005</v>
      </c>
      <c r="M9" s="219">
        <v>165261.85199999998</v>
      </c>
      <c r="N9" s="219">
        <v>14866.299000000001</v>
      </c>
      <c r="O9" s="219">
        <v>44598.897000000004</v>
      </c>
      <c r="P9" s="219">
        <v>143727.02400000003</v>
      </c>
      <c r="Q9" s="219">
        <f t="shared" si="0"/>
        <v>1744464.9075</v>
      </c>
    </row>
    <row r="10" spans="2:17" s="226" customFormat="1" ht="22.5" customHeight="1" x14ac:dyDescent="0.25">
      <c r="B10" s="230">
        <v>6</v>
      </c>
      <c r="C10" s="231" t="s">
        <v>246</v>
      </c>
      <c r="D10" s="219">
        <v>212586.12900000002</v>
      </c>
      <c r="E10" s="219">
        <v>235380.90450000003</v>
      </c>
      <c r="F10" s="219">
        <v>260901.06</v>
      </c>
      <c r="G10" s="219">
        <v>238239.30900000004</v>
      </c>
      <c r="H10" s="219">
        <v>247769.48700000002</v>
      </c>
      <c r="I10" s="219">
        <v>114694.15650000001</v>
      </c>
      <c r="J10" s="219">
        <v>673809.10800000001</v>
      </c>
      <c r="K10" s="219">
        <v>52032.046500000004</v>
      </c>
      <c r="L10" s="219">
        <v>75119.908500000005</v>
      </c>
      <c r="M10" s="219">
        <v>165261.85199999998</v>
      </c>
      <c r="N10" s="219">
        <v>14866.299000000001</v>
      </c>
      <c r="O10" s="219">
        <v>44598.897000000004</v>
      </c>
      <c r="P10" s="219">
        <v>0</v>
      </c>
      <c r="Q10" s="219">
        <f t="shared" si="0"/>
        <v>2335259.1570000001</v>
      </c>
    </row>
    <row r="11" spans="2:17" s="226" customFormat="1" ht="22.5" customHeight="1" x14ac:dyDescent="0.25">
      <c r="B11" s="230">
        <v>7</v>
      </c>
      <c r="C11" s="231" t="s">
        <v>526</v>
      </c>
      <c r="D11" s="219">
        <v>212586.12900000002</v>
      </c>
      <c r="E11" s="219">
        <v>235380.90450000003</v>
      </c>
      <c r="F11" s="219">
        <v>111496.47</v>
      </c>
      <c r="G11" s="219">
        <v>0</v>
      </c>
      <c r="H11" s="219">
        <v>247769.48700000002</v>
      </c>
      <c r="I11" s="219">
        <v>114694.15650000001</v>
      </c>
      <c r="J11" s="219">
        <v>673809.10800000001</v>
      </c>
      <c r="K11" s="219">
        <v>52032.046500000004</v>
      </c>
      <c r="L11" s="219">
        <v>75119.908500000005</v>
      </c>
      <c r="M11" s="219">
        <v>165261.85199999998</v>
      </c>
      <c r="N11" s="219">
        <v>14866.299000000001</v>
      </c>
      <c r="O11" s="219">
        <v>44598.897000000004</v>
      </c>
      <c r="P11" s="219">
        <v>143727.02400000003</v>
      </c>
      <c r="Q11" s="219">
        <f t="shared" si="0"/>
        <v>2091342.2820000001</v>
      </c>
    </row>
    <row r="12" spans="2:17" s="226" customFormat="1" ht="22.5" customHeight="1" x14ac:dyDescent="0.25">
      <c r="B12" s="230">
        <v>8</v>
      </c>
      <c r="C12" s="231" t="s">
        <v>248</v>
      </c>
      <c r="D12" s="219">
        <v>0</v>
      </c>
      <c r="E12" s="219">
        <v>0</v>
      </c>
      <c r="F12" s="219">
        <v>0</v>
      </c>
      <c r="G12" s="219">
        <v>0</v>
      </c>
      <c r="H12" s="219">
        <v>0</v>
      </c>
      <c r="I12" s="219">
        <v>0</v>
      </c>
      <c r="J12" s="219">
        <v>673809.10800000001</v>
      </c>
      <c r="K12" s="219">
        <v>0</v>
      </c>
      <c r="L12" s="219">
        <v>0</v>
      </c>
      <c r="M12" s="219">
        <v>0</v>
      </c>
      <c r="N12" s="219">
        <v>0</v>
      </c>
      <c r="O12" s="219">
        <v>0</v>
      </c>
      <c r="P12" s="219">
        <v>0</v>
      </c>
      <c r="Q12" s="219">
        <f t="shared" si="0"/>
        <v>673809.10800000001</v>
      </c>
    </row>
    <row r="13" spans="2:17" s="226" customFormat="1" ht="22.5" customHeight="1" x14ac:dyDescent="0.25">
      <c r="B13" s="230">
        <v>9</v>
      </c>
      <c r="C13" s="232" t="s">
        <v>249</v>
      </c>
      <c r="D13" s="219">
        <v>212586.12900000002</v>
      </c>
      <c r="E13" s="219">
        <v>235380.90450000003</v>
      </c>
      <c r="F13" s="219">
        <v>111496.47</v>
      </c>
      <c r="G13" s="219">
        <v>0</v>
      </c>
      <c r="H13" s="219">
        <v>247769.48700000002</v>
      </c>
      <c r="I13" s="219">
        <v>114694.15650000001</v>
      </c>
      <c r="J13" s="219">
        <v>673809.10800000001</v>
      </c>
      <c r="K13" s="219">
        <v>52032.046500000004</v>
      </c>
      <c r="L13" s="219">
        <v>75119.908500000005</v>
      </c>
      <c r="M13" s="219">
        <v>165261.85199999998</v>
      </c>
      <c r="N13" s="219">
        <v>14866.299000000001</v>
      </c>
      <c r="O13" s="219">
        <v>44598.897000000004</v>
      </c>
      <c r="P13" s="219">
        <v>143727.02400000003</v>
      </c>
      <c r="Q13" s="219">
        <f t="shared" si="0"/>
        <v>2091342.2820000001</v>
      </c>
    </row>
    <row r="14" spans="2:17" s="226" customFormat="1" ht="22.5" customHeight="1" x14ac:dyDescent="0.25">
      <c r="B14" s="230">
        <v>10</v>
      </c>
      <c r="C14" s="231" t="s">
        <v>250</v>
      </c>
      <c r="D14" s="219">
        <v>0</v>
      </c>
      <c r="E14" s="219">
        <v>0</v>
      </c>
      <c r="F14" s="219">
        <v>0</v>
      </c>
      <c r="G14" s="219">
        <v>238239.30900000004</v>
      </c>
      <c r="H14" s="219">
        <v>247769.48700000002</v>
      </c>
      <c r="I14" s="219">
        <v>114694.15650000001</v>
      </c>
      <c r="J14" s="219">
        <v>673809.10800000001</v>
      </c>
      <c r="K14" s="219">
        <v>52032.046500000004</v>
      </c>
      <c r="L14" s="219">
        <v>75119.908500000005</v>
      </c>
      <c r="M14" s="219">
        <v>165261.85199999998</v>
      </c>
      <c r="N14" s="219">
        <v>14866.299000000001</v>
      </c>
      <c r="O14" s="219">
        <v>44598.897000000004</v>
      </c>
      <c r="P14" s="219">
        <v>143727.02400000003</v>
      </c>
      <c r="Q14" s="219">
        <f t="shared" si="0"/>
        <v>1770118.0875000001</v>
      </c>
    </row>
    <row r="15" spans="2:17" s="226" customFormat="1" ht="22.5" customHeight="1" x14ac:dyDescent="0.25">
      <c r="B15" s="230">
        <v>11</v>
      </c>
      <c r="C15" s="231" t="s">
        <v>251</v>
      </c>
      <c r="D15" s="219">
        <v>354310.73</v>
      </c>
      <c r="E15" s="219">
        <v>235380.90450000003</v>
      </c>
      <c r="F15" s="219">
        <v>111496.47</v>
      </c>
      <c r="G15" s="219">
        <v>0</v>
      </c>
      <c r="H15" s="219">
        <v>247769.48700000002</v>
      </c>
      <c r="I15" s="219">
        <v>114694.15650000001</v>
      </c>
      <c r="J15" s="219">
        <v>673809.10800000001</v>
      </c>
      <c r="K15" s="219">
        <v>52032.046500000004</v>
      </c>
      <c r="L15" s="219">
        <v>75119.908500000005</v>
      </c>
      <c r="M15" s="219">
        <v>165261.85199999998</v>
      </c>
      <c r="N15" s="219">
        <v>14866.299000000001</v>
      </c>
      <c r="O15" s="219">
        <v>44598.897000000004</v>
      </c>
      <c r="P15" s="219">
        <v>143727.02400000003</v>
      </c>
      <c r="Q15" s="219">
        <f t="shared" si="0"/>
        <v>2233066.8830000004</v>
      </c>
    </row>
    <row r="16" spans="2:17" s="226" customFormat="1" ht="22.5" customHeight="1" x14ac:dyDescent="0.25">
      <c r="B16" s="230">
        <v>12</v>
      </c>
      <c r="C16" s="231" t="s">
        <v>252</v>
      </c>
      <c r="D16" s="219">
        <v>0</v>
      </c>
      <c r="E16" s="219">
        <v>0</v>
      </c>
      <c r="F16" s="219">
        <v>0</v>
      </c>
      <c r="G16" s="219">
        <v>0</v>
      </c>
      <c r="H16" s="219">
        <v>0</v>
      </c>
      <c r="I16" s="219">
        <v>0</v>
      </c>
      <c r="J16" s="219">
        <v>673809.10800000001</v>
      </c>
      <c r="K16" s="219">
        <v>0</v>
      </c>
      <c r="L16" s="219">
        <v>0</v>
      </c>
      <c r="M16" s="219">
        <v>0</v>
      </c>
      <c r="N16" s="219">
        <v>0</v>
      </c>
      <c r="O16" s="219">
        <v>0</v>
      </c>
      <c r="P16" s="219">
        <v>0</v>
      </c>
      <c r="Q16" s="219">
        <f t="shared" si="0"/>
        <v>673809.10800000001</v>
      </c>
    </row>
    <row r="17" spans="2:17" s="226" customFormat="1" ht="22.5" customHeight="1" x14ac:dyDescent="0.25">
      <c r="B17" s="230">
        <v>13</v>
      </c>
      <c r="C17" s="231" t="s">
        <v>253</v>
      </c>
      <c r="D17" s="219">
        <v>212586.12900000002</v>
      </c>
      <c r="E17" s="219">
        <v>235380.90450000003</v>
      </c>
      <c r="F17" s="219">
        <v>111496.47</v>
      </c>
      <c r="G17" s="219">
        <v>0</v>
      </c>
      <c r="H17" s="219">
        <v>247769.48700000002</v>
      </c>
      <c r="I17" s="219">
        <v>114694.15650000001</v>
      </c>
      <c r="J17" s="219">
        <v>673809.10800000001</v>
      </c>
      <c r="K17" s="219">
        <v>52032.046500000004</v>
      </c>
      <c r="L17" s="219">
        <v>75119.908500000005</v>
      </c>
      <c r="M17" s="219">
        <v>165261.85199999998</v>
      </c>
      <c r="N17" s="219">
        <v>14866.299000000001</v>
      </c>
      <c r="O17" s="219">
        <v>44598.897000000004</v>
      </c>
      <c r="P17" s="219">
        <v>143727.02400000003</v>
      </c>
      <c r="Q17" s="219">
        <f t="shared" si="0"/>
        <v>2091342.2820000001</v>
      </c>
    </row>
    <row r="18" spans="2:17" s="226" customFormat="1" ht="22.5" customHeight="1" x14ac:dyDescent="0.25">
      <c r="B18" s="230">
        <v>14</v>
      </c>
      <c r="C18" s="232" t="s">
        <v>254</v>
      </c>
      <c r="D18" s="219">
        <v>212586.12900000002</v>
      </c>
      <c r="E18" s="219">
        <v>0</v>
      </c>
      <c r="F18" s="219">
        <v>111496.47</v>
      </c>
      <c r="G18" s="219">
        <v>0</v>
      </c>
      <c r="H18" s="219">
        <v>247769.48700000002</v>
      </c>
      <c r="I18" s="219">
        <v>114694.15650000001</v>
      </c>
      <c r="J18" s="219">
        <v>673809.10800000001</v>
      </c>
      <c r="K18" s="219">
        <v>52032.046500000004</v>
      </c>
      <c r="L18" s="219">
        <v>75119.908500000005</v>
      </c>
      <c r="M18" s="219">
        <v>165261.85199999998</v>
      </c>
      <c r="N18" s="219">
        <v>14866.299000000001</v>
      </c>
      <c r="O18" s="219">
        <v>44598.897000000004</v>
      </c>
      <c r="P18" s="219">
        <v>143727.02400000003</v>
      </c>
      <c r="Q18" s="219">
        <f t="shared" si="0"/>
        <v>1855961.3775000002</v>
      </c>
    </row>
    <row r="19" spans="2:17" s="226" customFormat="1" ht="22.5" customHeight="1" x14ac:dyDescent="0.25">
      <c r="B19" s="230">
        <v>15</v>
      </c>
      <c r="C19" s="231" t="s">
        <v>255</v>
      </c>
      <c r="D19" s="219">
        <v>212586.12900000002</v>
      </c>
      <c r="E19" s="219">
        <v>0</v>
      </c>
      <c r="F19" s="219">
        <v>111496.47</v>
      </c>
      <c r="G19" s="219">
        <v>0</v>
      </c>
      <c r="H19" s="219">
        <v>247769.48700000002</v>
      </c>
      <c r="I19" s="219">
        <v>114694.15650000001</v>
      </c>
      <c r="J19" s="219">
        <v>673809.10800000001</v>
      </c>
      <c r="K19" s="219">
        <v>52032.046500000004</v>
      </c>
      <c r="L19" s="219">
        <v>75119.908500000005</v>
      </c>
      <c r="M19" s="219">
        <v>165261.85199999998</v>
      </c>
      <c r="N19" s="219">
        <v>14866.299000000001</v>
      </c>
      <c r="O19" s="219">
        <v>44598.897000000004</v>
      </c>
      <c r="P19" s="219">
        <v>143727.02400000003</v>
      </c>
      <c r="Q19" s="219">
        <f t="shared" si="0"/>
        <v>1855961.3775000002</v>
      </c>
    </row>
    <row r="20" spans="2:17" s="226" customFormat="1" ht="22.5" customHeight="1" x14ac:dyDescent="0.25">
      <c r="B20" s="230">
        <v>16</v>
      </c>
      <c r="C20" s="231" t="s">
        <v>256</v>
      </c>
      <c r="D20" s="219">
        <v>212586.12900000002</v>
      </c>
      <c r="E20" s="219">
        <v>0</v>
      </c>
      <c r="F20" s="219">
        <v>111496.47</v>
      </c>
      <c r="G20" s="219">
        <v>0</v>
      </c>
      <c r="H20" s="219">
        <v>247769.48700000002</v>
      </c>
      <c r="I20" s="219">
        <v>114694.15650000001</v>
      </c>
      <c r="J20" s="219">
        <v>673809.10800000001</v>
      </c>
      <c r="K20" s="219">
        <v>52032.046500000004</v>
      </c>
      <c r="L20" s="219">
        <v>75119.908500000005</v>
      </c>
      <c r="M20" s="219">
        <v>165261.85199999998</v>
      </c>
      <c r="N20" s="219">
        <v>14866.299000000001</v>
      </c>
      <c r="O20" s="219">
        <v>44598.897000000004</v>
      </c>
      <c r="P20" s="219">
        <v>143727.02400000003</v>
      </c>
      <c r="Q20" s="219">
        <f t="shared" si="0"/>
        <v>1855961.3775000002</v>
      </c>
    </row>
    <row r="21" spans="2:17" s="226" customFormat="1" ht="22.5" customHeight="1" x14ac:dyDescent="0.25">
      <c r="B21" s="230">
        <v>17</v>
      </c>
      <c r="C21" s="231" t="s">
        <v>257</v>
      </c>
      <c r="D21" s="219">
        <v>212586.12900000002</v>
      </c>
      <c r="E21" s="219">
        <v>235380.90450000003</v>
      </c>
      <c r="F21" s="219">
        <v>111496.47</v>
      </c>
      <c r="G21" s="219">
        <v>0</v>
      </c>
      <c r="H21" s="219">
        <v>247769.48700000002</v>
      </c>
      <c r="I21" s="219">
        <v>114694.15650000001</v>
      </c>
      <c r="J21" s="219">
        <v>673809.10800000001</v>
      </c>
      <c r="K21" s="219">
        <v>52032.046500000004</v>
      </c>
      <c r="L21" s="219">
        <v>75119.908500000005</v>
      </c>
      <c r="M21" s="219">
        <v>165261.85199999998</v>
      </c>
      <c r="N21" s="219">
        <v>14866.299000000001</v>
      </c>
      <c r="O21" s="219">
        <v>44598.897000000004</v>
      </c>
      <c r="P21" s="219">
        <v>143727.02400000003</v>
      </c>
      <c r="Q21" s="219">
        <f t="shared" si="0"/>
        <v>2091342.2820000001</v>
      </c>
    </row>
    <row r="22" spans="2:17" s="226" customFormat="1" ht="22.5" customHeight="1" x14ac:dyDescent="0.25">
      <c r="B22" s="230">
        <v>18</v>
      </c>
      <c r="C22" s="231" t="s">
        <v>258</v>
      </c>
      <c r="D22" s="219">
        <v>212586.12900000002</v>
      </c>
      <c r="E22" s="219">
        <v>0</v>
      </c>
      <c r="F22" s="219">
        <v>111496.47</v>
      </c>
      <c r="G22" s="219">
        <v>3561559.75</v>
      </c>
      <c r="H22" s="219">
        <v>247769.48700000002</v>
      </c>
      <c r="I22" s="219">
        <v>114694.15650000001</v>
      </c>
      <c r="J22" s="219">
        <v>673809.10800000001</v>
      </c>
      <c r="K22" s="219">
        <v>52032.046500000004</v>
      </c>
      <c r="L22" s="219">
        <v>75119.908500000005</v>
      </c>
      <c r="M22" s="219">
        <v>165261.85199999998</v>
      </c>
      <c r="N22" s="219">
        <v>14866.299000000001</v>
      </c>
      <c r="O22" s="219">
        <v>44598.897000000004</v>
      </c>
      <c r="P22" s="219">
        <v>143727.02400000003</v>
      </c>
      <c r="Q22" s="219">
        <f t="shared" si="0"/>
        <v>5417521.1274999995</v>
      </c>
    </row>
    <row r="23" spans="2:17" s="226" customFormat="1" ht="22.5" customHeight="1" x14ac:dyDescent="0.25">
      <c r="B23" s="230">
        <v>19</v>
      </c>
      <c r="C23" s="231" t="s">
        <v>259</v>
      </c>
      <c r="D23" s="219">
        <v>0</v>
      </c>
      <c r="E23" s="219">
        <v>0</v>
      </c>
      <c r="F23" s="219">
        <v>0</v>
      </c>
      <c r="G23" s="219">
        <v>0</v>
      </c>
      <c r="H23" s="219">
        <v>0</v>
      </c>
      <c r="I23" s="219">
        <v>0</v>
      </c>
      <c r="J23" s="219">
        <v>673809.10800000001</v>
      </c>
      <c r="K23" s="219">
        <v>0</v>
      </c>
      <c r="L23" s="219">
        <v>0</v>
      </c>
      <c r="M23" s="219">
        <v>165261.85199999998</v>
      </c>
      <c r="N23" s="219">
        <v>0</v>
      </c>
      <c r="O23" s="219">
        <v>0</v>
      </c>
      <c r="P23" s="219">
        <v>0</v>
      </c>
      <c r="Q23" s="219">
        <f t="shared" si="0"/>
        <v>839070.96</v>
      </c>
    </row>
    <row r="24" spans="2:17" s="226" customFormat="1" ht="22.5" customHeight="1" x14ac:dyDescent="0.25">
      <c r="B24" s="282"/>
      <c r="C24" s="671"/>
      <c r="D24" s="633"/>
      <c r="E24" s="633"/>
      <c r="F24" s="633"/>
      <c r="G24" s="633"/>
      <c r="H24" s="633"/>
      <c r="I24" s="633"/>
      <c r="J24" s="633"/>
      <c r="K24" s="633"/>
      <c r="L24" s="633"/>
      <c r="M24" s="633"/>
      <c r="N24" s="633"/>
      <c r="O24" s="633"/>
      <c r="P24" s="633"/>
      <c r="Q24" s="633"/>
    </row>
    <row r="25" spans="2:17" s="226" customFormat="1" ht="22.5" customHeight="1" x14ac:dyDescent="0.25">
      <c r="B25" s="743"/>
      <c r="C25" s="672"/>
      <c r="D25" s="636"/>
      <c r="E25" s="636"/>
      <c r="F25" s="636"/>
      <c r="G25" s="636"/>
      <c r="H25" s="636"/>
      <c r="I25" s="636"/>
      <c r="J25" s="636"/>
      <c r="K25" s="636"/>
      <c r="L25" s="636"/>
      <c r="M25" s="636"/>
      <c r="N25" s="636"/>
      <c r="O25" s="636"/>
      <c r="P25" s="636"/>
      <c r="Q25" s="636"/>
    </row>
    <row r="26" spans="2:17" s="226" customFormat="1" ht="22.5" customHeight="1" x14ac:dyDescent="0.25">
      <c r="B26" s="743"/>
      <c r="C26" s="672"/>
      <c r="D26" s="636"/>
      <c r="E26" s="636"/>
      <c r="F26" s="636"/>
      <c r="G26" s="636"/>
      <c r="H26" s="636"/>
      <c r="I26" s="636"/>
      <c r="J26" s="636"/>
      <c r="K26" s="636"/>
      <c r="L26" s="636"/>
      <c r="M26" s="636"/>
      <c r="N26" s="636"/>
      <c r="O26" s="636"/>
      <c r="P26" s="636"/>
      <c r="Q26" s="636"/>
    </row>
    <row r="27" spans="2:17" s="226" customFormat="1" ht="22.5" customHeight="1" x14ac:dyDescent="0.25">
      <c r="B27" s="743"/>
      <c r="C27" s="672"/>
      <c r="D27" s="636"/>
      <c r="E27" s="636"/>
      <c r="F27" s="636"/>
      <c r="G27" s="636"/>
      <c r="H27" s="636"/>
      <c r="I27" s="636"/>
      <c r="J27" s="636"/>
      <c r="K27" s="636"/>
      <c r="L27" s="636"/>
      <c r="M27" s="636"/>
      <c r="N27" s="636"/>
      <c r="O27" s="636"/>
      <c r="P27" s="636"/>
      <c r="Q27" s="636"/>
    </row>
    <row r="28" spans="2:17" s="226" customFormat="1" ht="19.7" customHeight="1" x14ac:dyDescent="0.25">
      <c r="B28" s="230">
        <v>20</v>
      </c>
      <c r="C28" s="231" t="s">
        <v>260</v>
      </c>
      <c r="D28" s="219">
        <v>354310.73</v>
      </c>
      <c r="E28" s="219">
        <v>235380.90450000003</v>
      </c>
      <c r="F28" s="219">
        <v>267589.88</v>
      </c>
      <c r="G28" s="219">
        <v>238239.30900000004</v>
      </c>
      <c r="H28" s="219">
        <v>247769.48700000002</v>
      </c>
      <c r="I28" s="219">
        <v>114694.15650000001</v>
      </c>
      <c r="J28" s="219">
        <v>673809.10800000001</v>
      </c>
      <c r="K28" s="219">
        <v>52032.046500000004</v>
      </c>
      <c r="L28" s="219">
        <v>75119.908500000005</v>
      </c>
      <c r="M28" s="219">
        <v>165261.85199999998</v>
      </c>
      <c r="N28" s="219">
        <v>14866.299000000001</v>
      </c>
      <c r="O28" s="219">
        <v>44598.897000000004</v>
      </c>
      <c r="P28" s="219">
        <v>0</v>
      </c>
      <c r="Q28" s="219">
        <f t="shared" si="0"/>
        <v>2483672.5780000002</v>
      </c>
    </row>
    <row r="29" spans="2:17" s="226" customFormat="1" ht="19.7" customHeight="1" x14ac:dyDescent="0.25">
      <c r="B29" s="230">
        <v>21</v>
      </c>
      <c r="C29" s="231" t="s">
        <v>261</v>
      </c>
      <c r="D29" s="219">
        <v>354310.73</v>
      </c>
      <c r="E29" s="219">
        <v>235380.90450000003</v>
      </c>
      <c r="F29" s="219">
        <v>111496.47</v>
      </c>
      <c r="G29" s="219">
        <v>238239.30900000004</v>
      </c>
      <c r="H29" s="219">
        <v>247769.48700000002</v>
      </c>
      <c r="I29" s="219">
        <v>114694.15650000001</v>
      </c>
      <c r="J29" s="219">
        <v>673809.10800000001</v>
      </c>
      <c r="K29" s="219">
        <v>52032.046500000004</v>
      </c>
      <c r="L29" s="219">
        <v>75119.908500000005</v>
      </c>
      <c r="M29" s="219">
        <v>165261.85199999998</v>
      </c>
      <c r="N29" s="219">
        <v>14866.299000000001</v>
      </c>
      <c r="O29" s="219">
        <v>44598.897000000004</v>
      </c>
      <c r="P29" s="219">
        <v>143727.02400000003</v>
      </c>
      <c r="Q29" s="219">
        <f t="shared" si="0"/>
        <v>2471306.1920000003</v>
      </c>
    </row>
    <row r="30" spans="2:17" s="226" customFormat="1" ht="19.7" customHeight="1" x14ac:dyDescent="0.25">
      <c r="B30" s="230">
        <v>22</v>
      </c>
      <c r="C30" s="231" t="s">
        <v>262</v>
      </c>
      <c r="D30" s="219">
        <v>212586.12900000002</v>
      </c>
      <c r="E30" s="219">
        <v>0</v>
      </c>
      <c r="F30" s="219">
        <v>111496.47</v>
      </c>
      <c r="G30" s="219">
        <v>0</v>
      </c>
      <c r="H30" s="219">
        <v>247769.48700000002</v>
      </c>
      <c r="I30" s="219">
        <v>114694.15650000001</v>
      </c>
      <c r="J30" s="219">
        <v>673809.10800000001</v>
      </c>
      <c r="K30" s="219">
        <v>52032.046500000004</v>
      </c>
      <c r="L30" s="219">
        <v>75119.908500000005</v>
      </c>
      <c r="M30" s="219">
        <v>165261.85199999998</v>
      </c>
      <c r="N30" s="219">
        <v>14866.299000000001</v>
      </c>
      <c r="O30" s="219">
        <v>44598.897000000004</v>
      </c>
      <c r="P30" s="219">
        <v>143727.02400000003</v>
      </c>
      <c r="Q30" s="219">
        <f t="shared" si="0"/>
        <v>1855961.3775000002</v>
      </c>
    </row>
    <row r="31" spans="2:17" s="226" customFormat="1" ht="19.7" customHeight="1" x14ac:dyDescent="0.25">
      <c r="B31" s="230">
        <v>23</v>
      </c>
      <c r="C31" s="231" t="s">
        <v>263</v>
      </c>
      <c r="D31" s="219">
        <v>212586.12900000002</v>
      </c>
      <c r="E31" s="219">
        <v>0</v>
      </c>
      <c r="F31" s="219">
        <v>111496.47</v>
      </c>
      <c r="G31" s="219">
        <v>0</v>
      </c>
      <c r="H31" s="219">
        <v>247769.48700000002</v>
      </c>
      <c r="I31" s="219">
        <v>114694.15650000001</v>
      </c>
      <c r="J31" s="219">
        <v>673809.10800000001</v>
      </c>
      <c r="K31" s="219">
        <v>52032.046500000004</v>
      </c>
      <c r="L31" s="219">
        <v>75119.908500000005</v>
      </c>
      <c r="M31" s="219">
        <v>165261.85199999998</v>
      </c>
      <c r="N31" s="219">
        <v>14866.299000000001</v>
      </c>
      <c r="O31" s="219">
        <v>44598.897000000004</v>
      </c>
      <c r="P31" s="219">
        <v>143727.02400000003</v>
      </c>
      <c r="Q31" s="219">
        <f t="shared" si="0"/>
        <v>1855961.3775000002</v>
      </c>
    </row>
    <row r="32" spans="2:17" s="226" customFormat="1" ht="19.7" customHeight="1" x14ac:dyDescent="0.25">
      <c r="B32" s="230">
        <v>24</v>
      </c>
      <c r="C32" s="231" t="s">
        <v>264</v>
      </c>
      <c r="D32" s="219">
        <v>0</v>
      </c>
      <c r="E32" s="219">
        <v>0</v>
      </c>
      <c r="F32" s="219">
        <v>0</v>
      </c>
      <c r="G32" s="219">
        <v>3850335.7</v>
      </c>
      <c r="H32" s="219">
        <v>0</v>
      </c>
      <c r="I32" s="219">
        <v>0</v>
      </c>
      <c r="J32" s="219">
        <v>673809.10800000001</v>
      </c>
      <c r="K32" s="219">
        <v>0</v>
      </c>
      <c r="L32" s="219">
        <v>0</v>
      </c>
      <c r="M32" s="219">
        <v>165261.85199999998</v>
      </c>
      <c r="N32" s="219">
        <v>0</v>
      </c>
      <c r="O32" s="219">
        <v>0</v>
      </c>
      <c r="P32" s="219">
        <v>0</v>
      </c>
      <c r="Q32" s="219">
        <f t="shared" si="0"/>
        <v>4689406.66</v>
      </c>
    </row>
    <row r="33" spans="2:17" s="226" customFormat="1" ht="19.7" customHeight="1" x14ac:dyDescent="0.25">
      <c r="B33" s="230">
        <v>25</v>
      </c>
      <c r="C33" s="231" t="s">
        <v>265</v>
      </c>
      <c r="D33" s="219">
        <v>212586.12900000002</v>
      </c>
      <c r="E33" s="219">
        <v>0</v>
      </c>
      <c r="F33" s="219">
        <v>68136.56</v>
      </c>
      <c r="G33" s="219">
        <v>0</v>
      </c>
      <c r="H33" s="219">
        <v>247769.48700000002</v>
      </c>
      <c r="I33" s="219">
        <v>114694.15650000001</v>
      </c>
      <c r="J33" s="219">
        <v>673809.10800000001</v>
      </c>
      <c r="K33" s="219">
        <v>52032.046500000004</v>
      </c>
      <c r="L33" s="219">
        <v>75119.908500000005</v>
      </c>
      <c r="M33" s="219">
        <v>165261.85199999998</v>
      </c>
      <c r="N33" s="219">
        <v>14866.299000000001</v>
      </c>
      <c r="O33" s="219">
        <v>44598.897000000004</v>
      </c>
      <c r="P33" s="219">
        <v>143727.02400000003</v>
      </c>
      <c r="Q33" s="219">
        <f t="shared" si="0"/>
        <v>1812601.4675</v>
      </c>
    </row>
    <row r="34" spans="2:17" s="226" customFormat="1" ht="19.7" customHeight="1" x14ac:dyDescent="0.25">
      <c r="B34" s="230">
        <v>26</v>
      </c>
      <c r="C34" s="231" t="s">
        <v>266</v>
      </c>
      <c r="D34" s="219">
        <v>0</v>
      </c>
      <c r="E34" s="219">
        <v>0</v>
      </c>
      <c r="F34" s="219">
        <v>0</v>
      </c>
      <c r="G34" s="219">
        <v>238239.30900000004</v>
      </c>
      <c r="H34" s="219">
        <v>0</v>
      </c>
      <c r="I34" s="219">
        <v>0</v>
      </c>
      <c r="J34" s="219">
        <v>673809.10800000001</v>
      </c>
      <c r="K34" s="219">
        <v>0</v>
      </c>
      <c r="L34" s="219">
        <v>0</v>
      </c>
      <c r="M34" s="219">
        <v>165261.85199999998</v>
      </c>
      <c r="N34" s="219">
        <v>0</v>
      </c>
      <c r="O34" s="219">
        <v>0</v>
      </c>
      <c r="P34" s="219">
        <v>0</v>
      </c>
      <c r="Q34" s="219">
        <f t="shared" si="0"/>
        <v>1077310.2690000001</v>
      </c>
    </row>
    <row r="35" spans="2:17" s="226" customFormat="1" ht="19.7" customHeight="1" x14ac:dyDescent="0.25">
      <c r="B35" s="230">
        <v>27</v>
      </c>
      <c r="C35" s="231" t="s">
        <v>267</v>
      </c>
      <c r="D35" s="219">
        <v>0</v>
      </c>
      <c r="E35" s="219">
        <v>235380.90450000003</v>
      </c>
      <c r="F35" s="219">
        <v>0</v>
      </c>
      <c r="G35" s="219">
        <v>238239.30900000004</v>
      </c>
      <c r="H35" s="219">
        <v>247769.48700000002</v>
      </c>
      <c r="I35" s="219">
        <v>114694.15650000001</v>
      </c>
      <c r="J35" s="219">
        <v>673809.10800000001</v>
      </c>
      <c r="K35" s="219">
        <v>52032.046500000004</v>
      </c>
      <c r="L35" s="219">
        <v>75119.908500000005</v>
      </c>
      <c r="M35" s="219">
        <v>165261.85199999998</v>
      </c>
      <c r="N35" s="219">
        <v>14866.299000000001</v>
      </c>
      <c r="O35" s="219">
        <v>44598.897000000004</v>
      </c>
      <c r="P35" s="219">
        <v>143727.02400000003</v>
      </c>
      <c r="Q35" s="219">
        <f t="shared" si="0"/>
        <v>2005498.9920000001</v>
      </c>
    </row>
    <row r="36" spans="2:17" s="226" customFormat="1" ht="19.7" customHeight="1" x14ac:dyDescent="0.25">
      <c r="B36" s="230">
        <v>28</v>
      </c>
      <c r="C36" s="231" t="s">
        <v>268</v>
      </c>
      <c r="D36" s="219">
        <v>212586.12900000002</v>
      </c>
      <c r="E36" s="219">
        <v>235380.90450000003</v>
      </c>
      <c r="F36" s="219">
        <v>260901.06</v>
      </c>
      <c r="G36" s="219">
        <v>238239.30900000004</v>
      </c>
      <c r="H36" s="219">
        <v>247769.48700000002</v>
      </c>
      <c r="I36" s="219">
        <v>114694.15650000001</v>
      </c>
      <c r="J36" s="219">
        <v>673809.10800000001</v>
      </c>
      <c r="K36" s="219">
        <v>52032.046500000004</v>
      </c>
      <c r="L36" s="219">
        <v>75119.908500000005</v>
      </c>
      <c r="M36" s="219">
        <v>165261.85199999998</v>
      </c>
      <c r="N36" s="219">
        <v>14866.299000000001</v>
      </c>
      <c r="O36" s="219">
        <v>44598.897000000004</v>
      </c>
      <c r="P36" s="219">
        <v>143727.02400000003</v>
      </c>
      <c r="Q36" s="219">
        <f t="shared" si="0"/>
        <v>2478986.1810000003</v>
      </c>
    </row>
    <row r="37" spans="2:17" s="226" customFormat="1" ht="19.7" customHeight="1" x14ac:dyDescent="0.25">
      <c r="B37" s="230">
        <v>29</v>
      </c>
      <c r="C37" s="231" t="s">
        <v>269</v>
      </c>
      <c r="D37" s="219">
        <v>212586.12900000002</v>
      </c>
      <c r="E37" s="219">
        <v>235380.90450000003</v>
      </c>
      <c r="F37" s="219">
        <v>111496.47</v>
      </c>
      <c r="G37" s="219">
        <v>0</v>
      </c>
      <c r="H37" s="219">
        <v>247769.48700000002</v>
      </c>
      <c r="I37" s="219">
        <v>114694.15650000001</v>
      </c>
      <c r="J37" s="219">
        <v>673809.10800000001</v>
      </c>
      <c r="K37" s="219">
        <v>52032.046500000004</v>
      </c>
      <c r="L37" s="219">
        <v>75119.908500000005</v>
      </c>
      <c r="M37" s="219">
        <v>165261.85199999998</v>
      </c>
      <c r="N37" s="219">
        <v>14866.299000000001</v>
      </c>
      <c r="O37" s="219">
        <v>44598.897000000004</v>
      </c>
      <c r="P37" s="219">
        <v>143727.02400000003</v>
      </c>
      <c r="Q37" s="219">
        <f t="shared" si="0"/>
        <v>2091342.2820000001</v>
      </c>
    </row>
    <row r="38" spans="2:17" s="226" customFormat="1" ht="19.7" customHeight="1" x14ac:dyDescent="0.25">
      <c r="B38" s="230">
        <v>30</v>
      </c>
      <c r="C38" s="231" t="s">
        <v>270</v>
      </c>
      <c r="D38" s="219">
        <v>212586.12900000002</v>
      </c>
      <c r="E38" s="219">
        <v>0</v>
      </c>
      <c r="F38" s="219">
        <v>111496.47</v>
      </c>
      <c r="G38" s="219">
        <v>238239.30900000004</v>
      </c>
      <c r="H38" s="219">
        <v>247769.48700000002</v>
      </c>
      <c r="I38" s="219">
        <v>114694.15650000001</v>
      </c>
      <c r="J38" s="219">
        <v>673809.10800000001</v>
      </c>
      <c r="K38" s="219">
        <v>52032.046500000004</v>
      </c>
      <c r="L38" s="219">
        <v>75119.908500000005</v>
      </c>
      <c r="M38" s="219">
        <v>165261.85199999998</v>
      </c>
      <c r="N38" s="219">
        <v>14866.299000000001</v>
      </c>
      <c r="O38" s="219">
        <v>44598.897000000004</v>
      </c>
      <c r="P38" s="219">
        <v>143727.02400000003</v>
      </c>
      <c r="Q38" s="219">
        <f t="shared" si="0"/>
        <v>2094200.6865000001</v>
      </c>
    </row>
    <row r="39" spans="2:17" s="226" customFormat="1" ht="19.7" customHeight="1" x14ac:dyDescent="0.25">
      <c r="B39" s="230">
        <v>31</v>
      </c>
      <c r="C39" s="231" t="s">
        <v>271</v>
      </c>
      <c r="D39" s="219">
        <v>212586.12900000002</v>
      </c>
      <c r="E39" s="219">
        <v>0</v>
      </c>
      <c r="F39" s="219">
        <v>68136.56</v>
      </c>
      <c r="G39" s="219">
        <v>0</v>
      </c>
      <c r="H39" s="219">
        <v>247769.48700000002</v>
      </c>
      <c r="I39" s="219">
        <v>114694.15650000001</v>
      </c>
      <c r="J39" s="219">
        <v>673809.10800000001</v>
      </c>
      <c r="K39" s="219">
        <v>52032.046500000004</v>
      </c>
      <c r="L39" s="219">
        <v>75119.908500000005</v>
      </c>
      <c r="M39" s="219">
        <v>165261.85199999998</v>
      </c>
      <c r="N39" s="219">
        <v>14866.299000000001</v>
      </c>
      <c r="O39" s="219">
        <v>44598.897000000004</v>
      </c>
      <c r="P39" s="219">
        <v>143727.02400000003</v>
      </c>
      <c r="Q39" s="219">
        <f t="shared" si="0"/>
        <v>1812601.4675</v>
      </c>
    </row>
    <row r="40" spans="2:17" s="226" customFormat="1" ht="19.7" customHeight="1" x14ac:dyDescent="0.25">
      <c r="B40" s="230">
        <v>32</v>
      </c>
      <c r="C40" s="231" t="s">
        <v>272</v>
      </c>
      <c r="D40" s="219">
        <v>212586.12900000002</v>
      </c>
      <c r="E40" s="219">
        <v>0</v>
      </c>
      <c r="F40" s="219">
        <v>111496.47</v>
      </c>
      <c r="G40" s="219">
        <v>238239.30900000004</v>
      </c>
      <c r="H40" s="219">
        <v>247769.48700000002</v>
      </c>
      <c r="I40" s="219">
        <v>114694.15650000001</v>
      </c>
      <c r="J40" s="219">
        <v>673809.10800000001</v>
      </c>
      <c r="K40" s="219">
        <v>52032.046500000004</v>
      </c>
      <c r="L40" s="219">
        <v>75119.908500000005</v>
      </c>
      <c r="M40" s="219">
        <v>165261.85199999998</v>
      </c>
      <c r="N40" s="219">
        <v>14866.299000000001</v>
      </c>
      <c r="O40" s="219">
        <v>44598.897000000004</v>
      </c>
      <c r="P40" s="219">
        <v>0</v>
      </c>
      <c r="Q40" s="219">
        <f t="shared" si="0"/>
        <v>1950473.6625000001</v>
      </c>
    </row>
    <row r="41" spans="2:17" s="226" customFormat="1" ht="19.7" customHeight="1" x14ac:dyDescent="0.25">
      <c r="B41" s="230">
        <v>33</v>
      </c>
      <c r="C41" s="231" t="s">
        <v>273</v>
      </c>
      <c r="D41" s="219">
        <v>212586.12900000002</v>
      </c>
      <c r="E41" s="219">
        <v>0</v>
      </c>
      <c r="F41" s="219">
        <v>111496.47</v>
      </c>
      <c r="G41" s="219">
        <v>238239.30900000004</v>
      </c>
      <c r="H41" s="219">
        <v>247769.48700000002</v>
      </c>
      <c r="I41" s="219">
        <v>114694.15650000001</v>
      </c>
      <c r="J41" s="219">
        <v>673809.10800000001</v>
      </c>
      <c r="K41" s="219">
        <v>52032.046500000004</v>
      </c>
      <c r="L41" s="219">
        <v>75119.908500000005</v>
      </c>
      <c r="M41" s="219">
        <v>165261.85199999998</v>
      </c>
      <c r="N41" s="219">
        <v>14866.299000000001</v>
      </c>
      <c r="O41" s="219">
        <v>44598.897000000004</v>
      </c>
      <c r="P41" s="219">
        <v>143727.02400000003</v>
      </c>
      <c r="Q41" s="219">
        <f t="shared" si="0"/>
        <v>2094200.6865000001</v>
      </c>
    </row>
    <row r="42" spans="2:17" s="226" customFormat="1" ht="19.7" customHeight="1" x14ac:dyDescent="0.25">
      <c r="B42" s="230">
        <v>34</v>
      </c>
      <c r="C42" s="231" t="s">
        <v>274</v>
      </c>
      <c r="D42" s="219">
        <v>212586.12900000002</v>
      </c>
      <c r="E42" s="219">
        <v>0</v>
      </c>
      <c r="F42" s="219">
        <v>111496.47</v>
      </c>
      <c r="G42" s="219">
        <v>0</v>
      </c>
      <c r="H42" s="219">
        <v>247769.48700000002</v>
      </c>
      <c r="I42" s="219">
        <v>114694.15650000001</v>
      </c>
      <c r="J42" s="219">
        <v>673809.10800000001</v>
      </c>
      <c r="K42" s="219">
        <v>52032.046500000004</v>
      </c>
      <c r="L42" s="219">
        <v>75119.908500000005</v>
      </c>
      <c r="M42" s="219">
        <v>165261.85199999998</v>
      </c>
      <c r="N42" s="219">
        <v>14866.299000000001</v>
      </c>
      <c r="O42" s="219">
        <v>44598.897000000004</v>
      </c>
      <c r="P42" s="219">
        <v>143727.02400000003</v>
      </c>
      <c r="Q42" s="219">
        <f t="shared" si="0"/>
        <v>1855961.3775000002</v>
      </c>
    </row>
    <row r="43" spans="2:17" s="226" customFormat="1" ht="19.7" customHeight="1" x14ac:dyDescent="0.25">
      <c r="B43" s="230">
        <v>35</v>
      </c>
      <c r="C43" s="231" t="s">
        <v>275</v>
      </c>
      <c r="D43" s="219">
        <v>354310.73</v>
      </c>
      <c r="E43" s="219">
        <v>235380.90450000003</v>
      </c>
      <c r="F43" s="219">
        <v>780473.23</v>
      </c>
      <c r="G43" s="219">
        <v>238239.30900000004</v>
      </c>
      <c r="H43" s="219">
        <v>247769.48700000002</v>
      </c>
      <c r="I43" s="219">
        <v>114694.15650000001</v>
      </c>
      <c r="J43" s="219">
        <v>673809.10800000001</v>
      </c>
      <c r="K43" s="219">
        <v>52032.046500000004</v>
      </c>
      <c r="L43" s="219">
        <v>75119.908500000005</v>
      </c>
      <c r="M43" s="219">
        <v>165261.85199999998</v>
      </c>
      <c r="N43" s="219">
        <v>14866.299000000001</v>
      </c>
      <c r="O43" s="219">
        <v>44598.897000000004</v>
      </c>
      <c r="P43" s="219">
        <v>143727.02400000003</v>
      </c>
      <c r="Q43" s="219">
        <f t="shared" si="0"/>
        <v>3140282.9520000005</v>
      </c>
    </row>
    <row r="44" spans="2:17" s="226" customFormat="1" ht="19.7" customHeight="1" x14ac:dyDescent="0.25">
      <c r="B44" s="230">
        <v>36</v>
      </c>
      <c r="C44" s="231" t="s">
        <v>296</v>
      </c>
      <c r="D44" s="219">
        <v>212586.12900000002</v>
      </c>
      <c r="E44" s="219">
        <v>0</v>
      </c>
      <c r="F44" s="219">
        <v>334488.38</v>
      </c>
      <c r="G44" s="219">
        <v>238239.30900000004</v>
      </c>
      <c r="H44" s="219">
        <v>247769.48700000002</v>
      </c>
      <c r="I44" s="219">
        <v>114694.15650000001</v>
      </c>
      <c r="J44" s="219">
        <v>673809.10800000001</v>
      </c>
      <c r="K44" s="219">
        <v>52032.046500000004</v>
      </c>
      <c r="L44" s="219">
        <v>75119.908500000005</v>
      </c>
      <c r="M44" s="219">
        <v>165261.85199999998</v>
      </c>
      <c r="N44" s="219">
        <v>14866.299000000001</v>
      </c>
      <c r="O44" s="219">
        <v>44598.897000000004</v>
      </c>
      <c r="P44" s="219">
        <v>0</v>
      </c>
      <c r="Q44" s="219">
        <f t="shared" si="0"/>
        <v>2173465.5725000002</v>
      </c>
    </row>
    <row r="45" spans="2:17" s="226" customFormat="1" ht="19.7" customHeight="1" x14ac:dyDescent="0.25">
      <c r="B45" s="230">
        <v>37</v>
      </c>
      <c r="C45" s="231" t="s">
        <v>277</v>
      </c>
      <c r="D45" s="219">
        <v>354310.73</v>
      </c>
      <c r="E45" s="219">
        <v>235380.90450000003</v>
      </c>
      <c r="F45" s="219">
        <v>445984.85000000003</v>
      </c>
      <c r="G45" s="219">
        <v>3811832.24</v>
      </c>
      <c r="H45" s="219">
        <v>247769.48700000002</v>
      </c>
      <c r="I45" s="219">
        <v>114694.15650000001</v>
      </c>
      <c r="J45" s="219">
        <v>673809.10800000001</v>
      </c>
      <c r="K45" s="219">
        <v>52032.046500000004</v>
      </c>
      <c r="L45" s="219">
        <v>75119.908500000005</v>
      </c>
      <c r="M45" s="219">
        <v>165261.85199999998</v>
      </c>
      <c r="N45" s="219">
        <v>14866.299000000001</v>
      </c>
      <c r="O45" s="219">
        <v>44598.897000000004</v>
      </c>
      <c r="P45" s="219">
        <v>0</v>
      </c>
      <c r="Q45" s="219">
        <f t="shared" si="0"/>
        <v>6235660.4789999994</v>
      </c>
    </row>
    <row r="46" spans="2:17" s="226" customFormat="1" ht="19.7" customHeight="1" x14ac:dyDescent="0.25">
      <c r="B46" s="230">
        <v>38</v>
      </c>
      <c r="C46" s="231" t="s">
        <v>278</v>
      </c>
      <c r="D46" s="219">
        <v>212586.12900000002</v>
      </c>
      <c r="E46" s="219">
        <v>235380.90450000003</v>
      </c>
      <c r="F46" s="219">
        <v>68136.56</v>
      </c>
      <c r="G46" s="219">
        <v>238239.30900000004</v>
      </c>
      <c r="H46" s="219">
        <v>247769.48700000002</v>
      </c>
      <c r="I46" s="219">
        <v>114694.15650000001</v>
      </c>
      <c r="J46" s="219">
        <v>673809.10800000001</v>
      </c>
      <c r="K46" s="219">
        <v>52032.046500000004</v>
      </c>
      <c r="L46" s="219">
        <v>75119.908500000005</v>
      </c>
      <c r="M46" s="219">
        <v>165261.85199999998</v>
      </c>
      <c r="N46" s="219">
        <v>14866.299000000001</v>
      </c>
      <c r="O46" s="219">
        <v>44598.897000000004</v>
      </c>
      <c r="P46" s="219">
        <v>143727.02400000003</v>
      </c>
      <c r="Q46" s="219">
        <f t="shared" si="0"/>
        <v>2286221.6809999999</v>
      </c>
    </row>
    <row r="47" spans="2:17" s="226" customFormat="1" ht="19.7" customHeight="1" x14ac:dyDescent="0.25">
      <c r="B47" s="230">
        <v>39</v>
      </c>
      <c r="C47" s="232" t="s">
        <v>279</v>
      </c>
      <c r="D47" s="219">
        <v>212586.12900000002</v>
      </c>
      <c r="E47" s="219">
        <v>0</v>
      </c>
      <c r="F47" s="219">
        <v>68136.56</v>
      </c>
      <c r="G47" s="219">
        <v>238239.30900000004</v>
      </c>
      <c r="H47" s="219">
        <v>247769.48700000002</v>
      </c>
      <c r="I47" s="219">
        <v>114694.15650000001</v>
      </c>
      <c r="J47" s="219">
        <v>673809.10800000001</v>
      </c>
      <c r="K47" s="219">
        <v>52032.046500000004</v>
      </c>
      <c r="L47" s="219">
        <v>75119.908500000005</v>
      </c>
      <c r="M47" s="219">
        <v>165261.85199999998</v>
      </c>
      <c r="N47" s="219">
        <v>14866.299000000001</v>
      </c>
      <c r="O47" s="219">
        <v>44598.897000000004</v>
      </c>
      <c r="P47" s="219">
        <v>143727.02400000003</v>
      </c>
      <c r="Q47" s="219">
        <f t="shared" si="0"/>
        <v>2050840.7765000002</v>
      </c>
    </row>
    <row r="48" spans="2:17" s="226" customFormat="1" ht="19.7" customHeight="1" x14ac:dyDescent="0.25">
      <c r="B48" s="230">
        <v>40</v>
      </c>
      <c r="C48" s="231" t="s">
        <v>280</v>
      </c>
      <c r="D48" s="219">
        <v>212586.12900000002</v>
      </c>
      <c r="E48" s="219">
        <v>235380.90450000003</v>
      </c>
      <c r="F48" s="219">
        <v>68136.56</v>
      </c>
      <c r="G48" s="219">
        <v>0</v>
      </c>
      <c r="H48" s="219">
        <v>247769.48700000002</v>
      </c>
      <c r="I48" s="219">
        <v>114694.15650000001</v>
      </c>
      <c r="J48" s="219">
        <v>673809.10800000001</v>
      </c>
      <c r="K48" s="219">
        <v>52032.046500000004</v>
      </c>
      <c r="L48" s="219">
        <v>75119.908500000005</v>
      </c>
      <c r="M48" s="219">
        <v>165261.85199999998</v>
      </c>
      <c r="N48" s="219">
        <v>14866.299000000001</v>
      </c>
      <c r="O48" s="219">
        <v>44598.897000000004</v>
      </c>
      <c r="P48" s="219">
        <v>143727.02400000003</v>
      </c>
      <c r="Q48" s="219">
        <f t="shared" si="0"/>
        <v>2047982.3720000002</v>
      </c>
    </row>
    <row r="49" spans="2:17" s="226" customFormat="1" ht="19.7" customHeight="1" x14ac:dyDescent="0.25">
      <c r="B49" s="967" t="s">
        <v>297</v>
      </c>
      <c r="C49" s="967"/>
      <c r="D49" s="224">
        <f>SUM(D5:D48)</f>
        <v>8006422.5739999963</v>
      </c>
      <c r="E49" s="224">
        <f>SUM(E5:E48)</f>
        <v>4001475.3765000016</v>
      </c>
      <c r="F49" s="224">
        <f t="shared" ref="F49:P49" si="1">SUM(F5:F48)</f>
        <v>5233138.51</v>
      </c>
      <c r="G49" s="224">
        <f t="shared" si="1"/>
        <v>14797317.325000005</v>
      </c>
      <c r="H49" s="224">
        <f t="shared" si="1"/>
        <v>8671932.0449999962</v>
      </c>
      <c r="I49" s="224">
        <f t="shared" si="1"/>
        <v>4014295.477500001</v>
      </c>
      <c r="J49" s="224">
        <f t="shared" si="1"/>
        <v>26278555.211999975</v>
      </c>
      <c r="K49" s="224">
        <f t="shared" si="1"/>
        <v>1821121.6274999997</v>
      </c>
      <c r="L49" s="233">
        <f t="shared" si="1"/>
        <v>2629196.797499998</v>
      </c>
      <c r="M49" s="224">
        <f t="shared" si="1"/>
        <v>6279950.3759999992</v>
      </c>
      <c r="N49" s="224">
        <f t="shared" si="1"/>
        <v>520320.46500000003</v>
      </c>
      <c r="O49" s="224">
        <f t="shared" si="1"/>
        <v>1560961.3950000014</v>
      </c>
      <c r="P49" s="224">
        <f t="shared" si="1"/>
        <v>4311810.7200000025</v>
      </c>
      <c r="Q49" s="224">
        <f>SUM(Q5:Q48)</f>
        <v>88126497.901000008</v>
      </c>
    </row>
    <row r="50" spans="2:17" s="226" customFormat="1" ht="19.7" customHeight="1" x14ac:dyDescent="0.25">
      <c r="B50" s="743"/>
      <c r="C50" s="235"/>
      <c r="D50" s="225"/>
      <c r="E50" s="225"/>
      <c r="F50" s="225"/>
      <c r="G50" s="225"/>
      <c r="H50" s="225"/>
      <c r="I50" s="225"/>
      <c r="J50" s="225"/>
      <c r="K50" s="225"/>
      <c r="L50" s="225"/>
      <c r="M50" s="903" t="s">
        <v>282</v>
      </c>
      <c r="N50" s="903"/>
      <c r="O50" s="903"/>
      <c r="P50" s="903"/>
      <c r="Q50" s="224">
        <f>Q49*0.16</f>
        <v>14100239.664160002</v>
      </c>
    </row>
    <row r="51" spans="2:17" s="226" customFormat="1" ht="19.7" customHeight="1" x14ac:dyDescent="0.25">
      <c r="B51" s="743"/>
      <c r="C51" s="235"/>
      <c r="D51" s="225"/>
      <c r="E51" s="225"/>
      <c r="F51" s="225"/>
      <c r="G51" s="225"/>
      <c r="H51" s="225"/>
      <c r="I51" s="225"/>
      <c r="J51" s="225"/>
      <c r="K51" s="225"/>
      <c r="L51" s="225"/>
      <c r="M51" s="903" t="s">
        <v>298</v>
      </c>
      <c r="N51" s="903"/>
      <c r="O51" s="903"/>
      <c r="P51" s="903"/>
      <c r="Q51" s="224">
        <f>SUM(Q49:Q50)</f>
        <v>102226737.56516001</v>
      </c>
    </row>
    <row r="52" spans="2:17" s="226" customFormat="1" ht="19.7" customHeight="1" x14ac:dyDescent="0.25">
      <c r="B52" s="743"/>
      <c r="C52" s="235"/>
      <c r="D52" s="225"/>
      <c r="E52" s="225"/>
      <c r="F52" s="225"/>
      <c r="G52" s="225"/>
      <c r="H52" s="225"/>
      <c r="I52" s="225"/>
      <c r="J52" s="225"/>
      <c r="K52" s="225"/>
      <c r="L52" s="225"/>
      <c r="M52" s="903" t="s">
        <v>161</v>
      </c>
      <c r="N52" s="903"/>
      <c r="O52" s="903"/>
      <c r="P52" s="903"/>
      <c r="Q52" s="224">
        <f>+Q51+'70.71 '!N51</f>
        <v>545764840.47975504</v>
      </c>
    </row>
    <row r="53" spans="2:17" s="226" customFormat="1" ht="19.7" customHeight="1" x14ac:dyDescent="0.25">
      <c r="B53" s="743"/>
      <c r="C53" s="235"/>
      <c r="D53" s="225"/>
      <c r="E53" s="225"/>
      <c r="F53" s="225"/>
      <c r="G53" s="225"/>
      <c r="H53" s="225"/>
      <c r="I53" s="225"/>
      <c r="J53" s="225"/>
      <c r="K53" s="225"/>
      <c r="L53" s="225"/>
      <c r="M53" s="903" t="s">
        <v>666</v>
      </c>
      <c r="N53" s="903"/>
      <c r="O53" s="903"/>
      <c r="P53" s="903"/>
      <c r="Q53" s="224">
        <f>Q52*0.3</f>
        <v>163729452.1439265</v>
      </c>
    </row>
  </sheetData>
  <mergeCells count="6">
    <mergeCell ref="M53:P53"/>
    <mergeCell ref="B3:Q3"/>
    <mergeCell ref="B49:C49"/>
    <mergeCell ref="M50:P50"/>
    <mergeCell ref="M51:P51"/>
    <mergeCell ref="M52:P52"/>
  </mergeCells>
  <pageMargins left="0.7" right="0.7" top="0.75" bottom="0.75" header="0.3" footer="0.3"/>
  <pageSetup paperSize="5" scale="80" orientation="landscape" r:id="rId1"/>
  <headerFooter>
    <oddFooter xml:space="preserve">&amp;C
</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3:N52"/>
  <sheetViews>
    <sheetView view="pageLayout" zoomScale="80" zoomScaleNormal="100" zoomScalePageLayoutView="80" workbookViewId="0">
      <selection activeCell="B3" sqref="B3:N52"/>
    </sheetView>
  </sheetViews>
  <sheetFormatPr baseColWidth="10" defaultRowHeight="15" x14ac:dyDescent="0.25"/>
  <cols>
    <col min="1" max="1" width="10.7109375" style="182" customWidth="1"/>
    <col min="2" max="2" width="5.140625" style="250" bestFit="1" customWidth="1"/>
    <col min="3" max="3" width="23.140625" style="182" customWidth="1"/>
    <col min="4" max="11" width="11.5703125" style="182" bestFit="1" customWidth="1"/>
    <col min="12" max="13" width="12.28515625" style="182" customWidth="1"/>
    <col min="14" max="14" width="14.7109375" style="182" bestFit="1" customWidth="1"/>
    <col min="15" max="16384" width="11.42578125" style="182"/>
  </cols>
  <sheetData>
    <row r="3" spans="2:14" s="251" customFormat="1" ht="15" customHeight="1" x14ac:dyDescent="0.25">
      <c r="B3" s="944" t="s">
        <v>1419</v>
      </c>
      <c r="C3" s="944"/>
      <c r="D3" s="944"/>
      <c r="E3" s="944"/>
      <c r="F3" s="944"/>
      <c r="G3" s="944"/>
      <c r="H3" s="944"/>
      <c r="I3" s="944"/>
      <c r="J3" s="944"/>
      <c r="K3" s="944"/>
      <c r="L3" s="944"/>
      <c r="M3" s="944"/>
      <c r="N3" s="944"/>
    </row>
    <row r="4" spans="2:14" s="238" customFormat="1" ht="153" customHeight="1" x14ac:dyDescent="0.25">
      <c r="B4" s="252" t="s">
        <v>346</v>
      </c>
      <c r="C4" s="253" t="s">
        <v>287</v>
      </c>
      <c r="D4" s="252" t="s">
        <v>622</v>
      </c>
      <c r="E4" s="252" t="s">
        <v>623</v>
      </c>
      <c r="F4" s="253" t="s">
        <v>624</v>
      </c>
      <c r="G4" s="253" t="s">
        <v>625</v>
      </c>
      <c r="H4" s="253" t="s">
        <v>626</v>
      </c>
      <c r="I4" s="253" t="s">
        <v>627</v>
      </c>
      <c r="J4" s="253" t="s">
        <v>628</v>
      </c>
      <c r="K4" s="252" t="s">
        <v>1685</v>
      </c>
      <c r="L4" s="252" t="s">
        <v>1686</v>
      </c>
      <c r="M4" s="253" t="s">
        <v>1687</v>
      </c>
      <c r="N4" s="252" t="s">
        <v>1460</v>
      </c>
    </row>
    <row r="5" spans="2:14" s="182" customFormat="1" x14ac:dyDescent="0.25">
      <c r="B5" s="230">
        <v>1</v>
      </c>
      <c r="C5" s="254" t="s">
        <v>241</v>
      </c>
      <c r="D5" s="255">
        <v>672606.48</v>
      </c>
      <c r="E5" s="255">
        <v>168151.62</v>
      </c>
      <c r="F5" s="255">
        <v>201781.94400000002</v>
      </c>
      <c r="G5" s="255">
        <v>168151.62</v>
      </c>
      <c r="H5" s="219">
        <v>235412.26800000001</v>
      </c>
      <c r="I5" s="219">
        <v>168151.62</v>
      </c>
      <c r="J5" s="219">
        <v>100890.97200000001</v>
      </c>
      <c r="K5" s="219">
        <v>176559.20100000003</v>
      </c>
      <c r="L5" s="219">
        <v>302672.91600000003</v>
      </c>
      <c r="M5" s="219">
        <v>252227.43</v>
      </c>
      <c r="N5" s="219">
        <f>SUM(D5:M5)</f>
        <v>2446606.071</v>
      </c>
    </row>
    <row r="6" spans="2:14" s="182" customFormat="1" x14ac:dyDescent="0.25">
      <c r="B6" s="230">
        <v>2</v>
      </c>
      <c r="C6" s="254" t="s">
        <v>242</v>
      </c>
      <c r="D6" s="255">
        <v>882796.005</v>
      </c>
      <c r="E6" s="255">
        <v>168151.62</v>
      </c>
      <c r="F6" s="255">
        <v>201781.94400000002</v>
      </c>
      <c r="G6" s="255">
        <v>168151.62</v>
      </c>
      <c r="H6" s="219">
        <v>235412.26800000001</v>
      </c>
      <c r="I6" s="219">
        <v>168151.62</v>
      </c>
      <c r="J6" s="219">
        <v>100890.97200000001</v>
      </c>
      <c r="K6" s="219">
        <v>176559.20100000003</v>
      </c>
      <c r="L6" s="219">
        <v>605345.83200000005</v>
      </c>
      <c r="M6" s="219">
        <v>504454.86</v>
      </c>
      <c r="N6" s="219">
        <f t="shared" ref="N6:N48" si="0">SUM(D6:M6)</f>
        <v>3211695.9419999998</v>
      </c>
    </row>
    <row r="7" spans="2:14" s="182" customFormat="1" x14ac:dyDescent="0.25">
      <c r="B7" s="230">
        <v>3</v>
      </c>
      <c r="C7" s="254" t="s">
        <v>243</v>
      </c>
      <c r="D7" s="255">
        <v>0</v>
      </c>
      <c r="E7" s="255">
        <v>168151.62</v>
      </c>
      <c r="F7" s="255">
        <v>201781.94400000002</v>
      </c>
      <c r="G7" s="255">
        <v>168151.62</v>
      </c>
      <c r="H7" s="219">
        <v>235412.26800000001</v>
      </c>
      <c r="I7" s="219">
        <v>168151.62</v>
      </c>
      <c r="J7" s="219">
        <v>100890.97200000001</v>
      </c>
      <c r="K7" s="219">
        <v>0</v>
      </c>
      <c r="L7" s="219">
        <v>302672.91600000003</v>
      </c>
      <c r="M7" s="219">
        <v>252227.43</v>
      </c>
      <c r="N7" s="219">
        <f t="shared" si="0"/>
        <v>1597440.39</v>
      </c>
    </row>
    <row r="8" spans="2:14" s="182" customFormat="1" x14ac:dyDescent="0.25">
      <c r="B8" s="230">
        <v>4</v>
      </c>
      <c r="C8" s="254" t="s">
        <v>244</v>
      </c>
      <c r="D8" s="255">
        <v>672606.48</v>
      </c>
      <c r="E8" s="255">
        <v>168151.62</v>
      </c>
      <c r="F8" s="255">
        <v>201781.94400000002</v>
      </c>
      <c r="G8" s="255">
        <v>168151.62</v>
      </c>
      <c r="H8" s="219">
        <v>235412.26800000001</v>
      </c>
      <c r="I8" s="219">
        <v>168151.62</v>
      </c>
      <c r="J8" s="219">
        <v>100890.97200000001</v>
      </c>
      <c r="K8" s="219">
        <v>176559.20100000003</v>
      </c>
      <c r="L8" s="219">
        <v>302672.91600000003</v>
      </c>
      <c r="M8" s="219">
        <v>252227.43</v>
      </c>
      <c r="N8" s="219">
        <f t="shared" si="0"/>
        <v>2446606.071</v>
      </c>
    </row>
    <row r="9" spans="2:14" s="182" customFormat="1" x14ac:dyDescent="0.25">
      <c r="B9" s="230">
        <v>5</v>
      </c>
      <c r="C9" s="254" t="s">
        <v>245</v>
      </c>
      <c r="D9" s="255">
        <v>672606.48</v>
      </c>
      <c r="E9" s="255">
        <v>168151.62</v>
      </c>
      <c r="F9" s="255">
        <v>201781.94400000002</v>
      </c>
      <c r="G9" s="255">
        <v>168151.62</v>
      </c>
      <c r="H9" s="219">
        <v>235412.26800000001</v>
      </c>
      <c r="I9" s="219">
        <v>168151.62</v>
      </c>
      <c r="J9" s="219">
        <v>100890.97200000001</v>
      </c>
      <c r="K9" s="219">
        <v>176559.20100000003</v>
      </c>
      <c r="L9" s="219">
        <v>302672.91600000003</v>
      </c>
      <c r="M9" s="219">
        <v>252227.43</v>
      </c>
      <c r="N9" s="219">
        <f t="shared" si="0"/>
        <v>2446606.071</v>
      </c>
    </row>
    <row r="10" spans="2:14" s="182" customFormat="1" x14ac:dyDescent="0.25">
      <c r="B10" s="230">
        <v>6</v>
      </c>
      <c r="C10" s="254" t="s">
        <v>246</v>
      </c>
      <c r="D10" s="255">
        <v>672606.48</v>
      </c>
      <c r="E10" s="255">
        <v>168151.62</v>
      </c>
      <c r="F10" s="255">
        <v>201781.94400000002</v>
      </c>
      <c r="G10" s="255">
        <v>168151.62</v>
      </c>
      <c r="H10" s="219">
        <v>235412.26800000001</v>
      </c>
      <c r="I10" s="219">
        <v>168151.62</v>
      </c>
      <c r="J10" s="219">
        <v>100890.97200000001</v>
      </c>
      <c r="K10" s="219">
        <v>176559.20100000003</v>
      </c>
      <c r="L10" s="219">
        <v>302672.91600000003</v>
      </c>
      <c r="M10" s="219">
        <v>252227.43</v>
      </c>
      <c r="N10" s="219">
        <f t="shared" si="0"/>
        <v>2446606.071</v>
      </c>
    </row>
    <row r="11" spans="2:14" s="182" customFormat="1" x14ac:dyDescent="0.25">
      <c r="B11" s="230">
        <v>7</v>
      </c>
      <c r="C11" s="254" t="s">
        <v>526</v>
      </c>
      <c r="D11" s="255">
        <v>0</v>
      </c>
      <c r="E11" s="255">
        <v>168151.62</v>
      </c>
      <c r="F11" s="255">
        <v>201781.94400000002</v>
      </c>
      <c r="G11" s="255">
        <v>168151.62</v>
      </c>
      <c r="H11" s="219">
        <v>235412.26800000001</v>
      </c>
      <c r="I11" s="219">
        <v>168151.62</v>
      </c>
      <c r="J11" s="219">
        <v>100890.97200000001</v>
      </c>
      <c r="K11" s="219">
        <v>0</v>
      </c>
      <c r="L11" s="219">
        <v>302672.91600000003</v>
      </c>
      <c r="M11" s="219">
        <v>252227.43</v>
      </c>
      <c r="N11" s="219">
        <f t="shared" si="0"/>
        <v>1597440.39</v>
      </c>
    </row>
    <row r="12" spans="2:14" s="182" customFormat="1" x14ac:dyDescent="0.25">
      <c r="B12" s="230">
        <v>8</v>
      </c>
      <c r="C12" s="254" t="s">
        <v>248</v>
      </c>
      <c r="D12" s="255">
        <v>672606.48</v>
      </c>
      <c r="E12" s="255">
        <v>168151.62</v>
      </c>
      <c r="F12" s="255">
        <v>201781.94400000002</v>
      </c>
      <c r="G12" s="255">
        <v>168151.62</v>
      </c>
      <c r="H12" s="219">
        <v>235412.26800000001</v>
      </c>
      <c r="I12" s="219">
        <v>168151.62</v>
      </c>
      <c r="J12" s="219">
        <v>100890.97200000001</v>
      </c>
      <c r="K12" s="219">
        <v>176559.20100000003</v>
      </c>
      <c r="L12" s="219">
        <v>302672.91600000003</v>
      </c>
      <c r="M12" s="219">
        <v>252227.43</v>
      </c>
      <c r="N12" s="219">
        <f t="shared" si="0"/>
        <v>2446606.071</v>
      </c>
    </row>
    <row r="13" spans="2:14" s="182" customFormat="1" x14ac:dyDescent="0.25">
      <c r="B13" s="230">
        <v>9</v>
      </c>
      <c r="C13" s="256" t="s">
        <v>249</v>
      </c>
      <c r="D13" s="255">
        <v>0</v>
      </c>
      <c r="E13" s="255">
        <v>168151.62</v>
      </c>
      <c r="F13" s="255">
        <v>201781.94400000002</v>
      </c>
      <c r="G13" s="255">
        <v>168151.62</v>
      </c>
      <c r="H13" s="219">
        <v>235412.26800000001</v>
      </c>
      <c r="I13" s="219">
        <v>168151.62</v>
      </c>
      <c r="J13" s="219">
        <v>100890.97200000001</v>
      </c>
      <c r="K13" s="219">
        <v>0</v>
      </c>
      <c r="L13" s="219">
        <v>302672.91600000003</v>
      </c>
      <c r="M13" s="219">
        <v>252227.43</v>
      </c>
      <c r="N13" s="219">
        <f t="shared" si="0"/>
        <v>1597440.39</v>
      </c>
    </row>
    <row r="14" spans="2:14" s="182" customFormat="1" x14ac:dyDescent="0.25">
      <c r="B14" s="230">
        <v>10</v>
      </c>
      <c r="C14" s="254" t="s">
        <v>250</v>
      </c>
      <c r="D14" s="255">
        <v>0</v>
      </c>
      <c r="E14" s="255">
        <v>168151.62</v>
      </c>
      <c r="F14" s="255">
        <v>201781.94400000002</v>
      </c>
      <c r="G14" s="255">
        <v>168151.62</v>
      </c>
      <c r="H14" s="219">
        <v>235412.26800000001</v>
      </c>
      <c r="I14" s="219">
        <v>168151.62</v>
      </c>
      <c r="J14" s="219">
        <v>100890.97200000001</v>
      </c>
      <c r="K14" s="219">
        <v>0</v>
      </c>
      <c r="L14" s="219">
        <v>302672.91600000003</v>
      </c>
      <c r="M14" s="219">
        <v>252227.43</v>
      </c>
      <c r="N14" s="219">
        <f t="shared" si="0"/>
        <v>1597440.39</v>
      </c>
    </row>
    <row r="15" spans="2:14" s="182" customFormat="1" x14ac:dyDescent="0.25">
      <c r="B15" s="230">
        <v>11</v>
      </c>
      <c r="C15" s="254" t="s">
        <v>251</v>
      </c>
      <c r="D15" s="255">
        <v>672606.48</v>
      </c>
      <c r="E15" s="255">
        <v>168151.62</v>
      </c>
      <c r="F15" s="255">
        <v>201781.94400000002</v>
      </c>
      <c r="G15" s="255">
        <v>168151.62</v>
      </c>
      <c r="H15" s="219">
        <v>235412.26800000001</v>
      </c>
      <c r="I15" s="219">
        <v>168151.62</v>
      </c>
      <c r="J15" s="219">
        <v>100890.97200000001</v>
      </c>
      <c r="K15" s="219">
        <v>176559.20100000003</v>
      </c>
      <c r="L15" s="219">
        <v>302672.91600000003</v>
      </c>
      <c r="M15" s="219">
        <v>252227.43</v>
      </c>
      <c r="N15" s="219">
        <f t="shared" si="0"/>
        <v>2446606.071</v>
      </c>
    </row>
    <row r="16" spans="2:14" s="182" customFormat="1" x14ac:dyDescent="0.25">
      <c r="B16" s="230">
        <v>12</v>
      </c>
      <c r="C16" s="254" t="s">
        <v>252</v>
      </c>
      <c r="D16" s="255">
        <v>0</v>
      </c>
      <c r="E16" s="255">
        <v>168151.62</v>
      </c>
      <c r="F16" s="255">
        <v>201781.94400000002</v>
      </c>
      <c r="G16" s="255">
        <v>168151.62</v>
      </c>
      <c r="H16" s="219">
        <v>235412.26800000001</v>
      </c>
      <c r="I16" s="219">
        <v>168151.62</v>
      </c>
      <c r="J16" s="219">
        <v>100890.97200000001</v>
      </c>
      <c r="K16" s="219">
        <v>0</v>
      </c>
      <c r="L16" s="219">
        <v>302672.91600000003</v>
      </c>
      <c r="M16" s="219">
        <v>252227.43</v>
      </c>
      <c r="N16" s="219">
        <f t="shared" si="0"/>
        <v>1597440.39</v>
      </c>
    </row>
    <row r="17" spans="2:14" s="182" customFormat="1" x14ac:dyDescent="0.25">
      <c r="B17" s="230">
        <v>13</v>
      </c>
      <c r="C17" s="254" t="s">
        <v>253</v>
      </c>
      <c r="D17" s="255">
        <v>672606.48</v>
      </c>
      <c r="E17" s="255">
        <v>168151.62</v>
      </c>
      <c r="F17" s="255">
        <v>201781.94400000002</v>
      </c>
      <c r="G17" s="255">
        <v>168151.62</v>
      </c>
      <c r="H17" s="219">
        <v>235412.26800000001</v>
      </c>
      <c r="I17" s="219">
        <v>168151.62</v>
      </c>
      <c r="J17" s="219">
        <v>100890.97200000001</v>
      </c>
      <c r="K17" s="219">
        <v>176559.20100000003</v>
      </c>
      <c r="L17" s="219">
        <v>302672.91600000003</v>
      </c>
      <c r="M17" s="219">
        <v>252227.43</v>
      </c>
      <c r="N17" s="219">
        <f t="shared" si="0"/>
        <v>2446606.071</v>
      </c>
    </row>
    <row r="18" spans="2:14" s="182" customFormat="1" x14ac:dyDescent="0.25">
      <c r="B18" s="230">
        <v>14</v>
      </c>
      <c r="C18" s="256" t="s">
        <v>254</v>
      </c>
      <c r="D18" s="255">
        <v>0</v>
      </c>
      <c r="E18" s="255">
        <v>168151.62</v>
      </c>
      <c r="F18" s="255">
        <v>201781.94400000002</v>
      </c>
      <c r="G18" s="255">
        <v>168151.62</v>
      </c>
      <c r="H18" s="219">
        <v>235412.26800000001</v>
      </c>
      <c r="I18" s="219">
        <v>168151.62</v>
      </c>
      <c r="J18" s="219">
        <v>100890.97200000001</v>
      </c>
      <c r="K18" s="219">
        <v>0</v>
      </c>
      <c r="L18" s="219">
        <v>302672.91600000003</v>
      </c>
      <c r="M18" s="219">
        <v>252227.43</v>
      </c>
      <c r="N18" s="219">
        <f t="shared" si="0"/>
        <v>1597440.39</v>
      </c>
    </row>
    <row r="19" spans="2:14" s="182" customFormat="1" x14ac:dyDescent="0.25">
      <c r="B19" s="230">
        <v>15</v>
      </c>
      <c r="C19" s="254" t="s">
        <v>255</v>
      </c>
      <c r="D19" s="255">
        <v>672606.48</v>
      </c>
      <c r="E19" s="255">
        <v>168151.62</v>
      </c>
      <c r="F19" s="255">
        <v>201781.94400000002</v>
      </c>
      <c r="G19" s="255">
        <v>168151.62</v>
      </c>
      <c r="H19" s="219">
        <v>235412.26800000001</v>
      </c>
      <c r="I19" s="219">
        <v>168151.62</v>
      </c>
      <c r="J19" s="219">
        <v>100890.97200000001</v>
      </c>
      <c r="K19" s="219">
        <v>176559.20100000003</v>
      </c>
      <c r="L19" s="219">
        <v>302672.91600000003</v>
      </c>
      <c r="M19" s="219">
        <v>252227.43</v>
      </c>
      <c r="N19" s="219">
        <f t="shared" si="0"/>
        <v>2446606.071</v>
      </c>
    </row>
    <row r="20" spans="2:14" s="182" customFormat="1" x14ac:dyDescent="0.25">
      <c r="B20" s="230">
        <v>16</v>
      </c>
      <c r="C20" s="254" t="s">
        <v>256</v>
      </c>
      <c r="D20" s="255">
        <v>672606.48</v>
      </c>
      <c r="E20" s="255">
        <v>168151.62</v>
      </c>
      <c r="F20" s="255">
        <v>201781.94400000002</v>
      </c>
      <c r="G20" s="255">
        <v>168151.62</v>
      </c>
      <c r="H20" s="219">
        <v>235412.26800000001</v>
      </c>
      <c r="I20" s="219">
        <v>168151.62</v>
      </c>
      <c r="J20" s="219">
        <v>100890.97200000001</v>
      </c>
      <c r="K20" s="219">
        <v>176559.20100000003</v>
      </c>
      <c r="L20" s="219">
        <v>302672.91600000003</v>
      </c>
      <c r="M20" s="219">
        <v>252227.43</v>
      </c>
      <c r="N20" s="219">
        <f t="shared" si="0"/>
        <v>2446606.071</v>
      </c>
    </row>
    <row r="21" spans="2:14" s="182" customFormat="1" x14ac:dyDescent="0.25">
      <c r="B21" s="230">
        <v>17</v>
      </c>
      <c r="C21" s="254" t="s">
        <v>257</v>
      </c>
      <c r="D21" s="255">
        <v>672606.48</v>
      </c>
      <c r="E21" s="255">
        <v>168151.62</v>
      </c>
      <c r="F21" s="255">
        <v>201781.94400000002</v>
      </c>
      <c r="G21" s="255">
        <v>168151.62</v>
      </c>
      <c r="H21" s="219">
        <v>235412.26800000001</v>
      </c>
      <c r="I21" s="219">
        <v>168151.62</v>
      </c>
      <c r="J21" s="219">
        <v>100890.97200000001</v>
      </c>
      <c r="K21" s="219">
        <v>176559.20100000003</v>
      </c>
      <c r="L21" s="219">
        <v>302672.91600000003</v>
      </c>
      <c r="M21" s="219">
        <v>252227.43</v>
      </c>
      <c r="N21" s="219">
        <f t="shared" si="0"/>
        <v>2446606.071</v>
      </c>
    </row>
    <row r="22" spans="2:14" s="182" customFormat="1" x14ac:dyDescent="0.25">
      <c r="B22" s="230">
        <v>18</v>
      </c>
      <c r="C22" s="254" t="s">
        <v>258</v>
      </c>
      <c r="D22" s="255">
        <v>672606.48</v>
      </c>
      <c r="E22" s="255">
        <v>168151.62</v>
      </c>
      <c r="F22" s="255">
        <v>201781.94400000002</v>
      </c>
      <c r="G22" s="255">
        <v>168151.62</v>
      </c>
      <c r="H22" s="219">
        <v>235412.26800000001</v>
      </c>
      <c r="I22" s="219">
        <v>168151.62</v>
      </c>
      <c r="J22" s="219">
        <v>100890.97200000001</v>
      </c>
      <c r="K22" s="219">
        <v>176559.20100000003</v>
      </c>
      <c r="L22" s="219">
        <v>302672.91600000003</v>
      </c>
      <c r="M22" s="219">
        <v>252227.43</v>
      </c>
      <c r="N22" s="219">
        <f t="shared" si="0"/>
        <v>2446606.071</v>
      </c>
    </row>
    <row r="23" spans="2:14" s="182" customFormat="1" x14ac:dyDescent="0.25">
      <c r="B23" s="230">
        <v>19</v>
      </c>
      <c r="C23" s="254" t="s">
        <v>259</v>
      </c>
      <c r="D23" s="255">
        <v>882796.005</v>
      </c>
      <c r="E23" s="255">
        <v>168151.62</v>
      </c>
      <c r="F23" s="255">
        <v>201781.94400000002</v>
      </c>
      <c r="G23" s="255">
        <v>168151.62</v>
      </c>
      <c r="H23" s="219">
        <v>235412.26800000001</v>
      </c>
      <c r="I23" s="219">
        <v>168151.62</v>
      </c>
      <c r="J23" s="219">
        <v>100890.97200000001</v>
      </c>
      <c r="K23" s="219">
        <v>176559.20100000003</v>
      </c>
      <c r="L23" s="219">
        <v>605345.83200000005</v>
      </c>
      <c r="M23" s="219">
        <v>504454.86</v>
      </c>
      <c r="N23" s="219">
        <f t="shared" si="0"/>
        <v>3211695.9419999998</v>
      </c>
    </row>
    <row r="24" spans="2:14" s="182" customFormat="1" x14ac:dyDescent="0.25">
      <c r="B24" s="230">
        <v>20</v>
      </c>
      <c r="C24" s="254" t="s">
        <v>260</v>
      </c>
      <c r="D24" s="222">
        <v>0</v>
      </c>
      <c r="E24" s="255">
        <v>168151.62</v>
      </c>
      <c r="F24" s="255">
        <v>201781.94400000002</v>
      </c>
      <c r="G24" s="255">
        <v>168151.62</v>
      </c>
      <c r="H24" s="219">
        <v>235412.26800000001</v>
      </c>
      <c r="I24" s="219">
        <v>168151.62</v>
      </c>
      <c r="J24" s="219">
        <v>100890.97200000001</v>
      </c>
      <c r="K24" s="219">
        <v>0</v>
      </c>
      <c r="L24" s="219">
        <v>302672.91600000003</v>
      </c>
      <c r="M24" s="219">
        <v>252227.43</v>
      </c>
      <c r="N24" s="219">
        <f t="shared" si="0"/>
        <v>1597440.39</v>
      </c>
    </row>
    <row r="25" spans="2:14" s="182" customFormat="1" x14ac:dyDescent="0.25">
      <c r="B25" s="230">
        <v>21</v>
      </c>
      <c r="C25" s="254" t="s">
        <v>261</v>
      </c>
      <c r="D25" s="255">
        <v>672606.48</v>
      </c>
      <c r="E25" s="255">
        <v>168151.62</v>
      </c>
      <c r="F25" s="255">
        <v>201781.94400000002</v>
      </c>
      <c r="G25" s="255">
        <v>168151.62</v>
      </c>
      <c r="H25" s="219">
        <v>235412.26800000001</v>
      </c>
      <c r="I25" s="219">
        <v>168151.62</v>
      </c>
      <c r="J25" s="219">
        <v>100890.97200000001</v>
      </c>
      <c r="K25" s="219">
        <v>176559.20100000003</v>
      </c>
      <c r="L25" s="219">
        <v>302672.91600000003</v>
      </c>
      <c r="M25" s="219">
        <v>252227.43</v>
      </c>
      <c r="N25" s="219">
        <f t="shared" si="0"/>
        <v>2446606.071</v>
      </c>
    </row>
    <row r="26" spans="2:14" s="182" customFormat="1" x14ac:dyDescent="0.25">
      <c r="B26" s="230">
        <v>22</v>
      </c>
      <c r="C26" s="254" t="s">
        <v>262</v>
      </c>
      <c r="D26" s="255">
        <v>672606.48</v>
      </c>
      <c r="E26" s="255">
        <v>168151.62</v>
      </c>
      <c r="F26" s="255">
        <v>201781.94400000002</v>
      </c>
      <c r="G26" s="255">
        <v>168151.62</v>
      </c>
      <c r="H26" s="219">
        <v>235412.26800000001</v>
      </c>
      <c r="I26" s="219">
        <v>168151.62</v>
      </c>
      <c r="J26" s="219">
        <v>100890.97200000001</v>
      </c>
      <c r="K26" s="219">
        <v>176559.20100000003</v>
      </c>
      <c r="L26" s="219">
        <v>302672.91600000003</v>
      </c>
      <c r="M26" s="219">
        <v>252227.43</v>
      </c>
      <c r="N26" s="219">
        <f t="shared" si="0"/>
        <v>2446606.071</v>
      </c>
    </row>
    <row r="27" spans="2:14" s="182" customFormat="1" x14ac:dyDescent="0.25">
      <c r="B27" s="230">
        <v>23</v>
      </c>
      <c r="C27" s="254" t="s">
        <v>263</v>
      </c>
      <c r="D27" s="222">
        <v>0</v>
      </c>
      <c r="E27" s="255">
        <v>168151.62</v>
      </c>
      <c r="F27" s="255">
        <v>201781.94400000002</v>
      </c>
      <c r="G27" s="255">
        <v>168151.62</v>
      </c>
      <c r="H27" s="219">
        <v>235412.26800000001</v>
      </c>
      <c r="I27" s="219">
        <v>168151.62</v>
      </c>
      <c r="J27" s="219">
        <v>100890.97200000001</v>
      </c>
      <c r="K27" s="219">
        <v>0</v>
      </c>
      <c r="L27" s="219">
        <v>302672.91600000003</v>
      </c>
      <c r="M27" s="219">
        <v>252227.43</v>
      </c>
      <c r="N27" s="219">
        <f t="shared" si="0"/>
        <v>1597440.39</v>
      </c>
    </row>
    <row r="28" spans="2:14" s="182" customFormat="1" x14ac:dyDescent="0.25">
      <c r="B28" s="282"/>
      <c r="C28" s="631"/>
      <c r="D28" s="663"/>
      <c r="E28" s="1130"/>
      <c r="F28" s="1130"/>
      <c r="G28" s="1130"/>
      <c r="H28" s="633"/>
      <c r="I28" s="633"/>
      <c r="J28" s="633"/>
      <c r="K28" s="633"/>
      <c r="L28" s="633"/>
      <c r="M28" s="633"/>
      <c r="N28" s="633"/>
    </row>
    <row r="29" spans="2:14" s="182" customFormat="1" x14ac:dyDescent="0.25">
      <c r="B29" s="836"/>
      <c r="C29" s="634"/>
      <c r="D29" s="665"/>
      <c r="E29" s="1131"/>
      <c r="F29" s="1131"/>
      <c r="G29" s="1131"/>
      <c r="H29" s="636"/>
      <c r="I29" s="636"/>
      <c r="J29" s="636"/>
      <c r="K29" s="636"/>
      <c r="L29" s="636"/>
      <c r="M29" s="636"/>
      <c r="N29" s="636"/>
    </row>
    <row r="30" spans="2:14" s="182" customFormat="1" x14ac:dyDescent="0.25">
      <c r="B30" s="836"/>
      <c r="C30" s="634"/>
      <c r="D30" s="665"/>
      <c r="E30" s="1131"/>
      <c r="F30" s="1131"/>
      <c r="G30" s="1131"/>
      <c r="H30" s="636"/>
      <c r="I30" s="636"/>
      <c r="J30" s="636"/>
      <c r="K30" s="636"/>
      <c r="L30" s="636"/>
      <c r="M30" s="636"/>
      <c r="N30" s="636"/>
    </row>
    <row r="31" spans="2:14" s="182" customFormat="1" x14ac:dyDescent="0.25">
      <c r="B31" s="836"/>
      <c r="C31" s="634"/>
      <c r="D31" s="665"/>
      <c r="E31" s="1131"/>
      <c r="F31" s="1131"/>
      <c r="G31" s="1131"/>
      <c r="H31" s="636"/>
      <c r="I31" s="636"/>
      <c r="J31" s="636"/>
      <c r="K31" s="636"/>
      <c r="L31" s="636"/>
      <c r="M31" s="636"/>
      <c r="N31" s="636"/>
    </row>
    <row r="32" spans="2:14" s="182" customFormat="1" x14ac:dyDescent="0.25">
      <c r="B32" s="230">
        <v>24</v>
      </c>
      <c r="C32" s="254" t="s">
        <v>264</v>
      </c>
      <c r="D32" s="255">
        <v>672606.48</v>
      </c>
      <c r="E32" s="255">
        <v>168151.62</v>
      </c>
      <c r="F32" s="255">
        <v>201781.94400000002</v>
      </c>
      <c r="G32" s="255">
        <v>168151.62</v>
      </c>
      <c r="H32" s="219">
        <v>235412.26800000001</v>
      </c>
      <c r="I32" s="219">
        <v>168151.62</v>
      </c>
      <c r="J32" s="219">
        <v>100890.97200000001</v>
      </c>
      <c r="K32" s="219">
        <v>176559.20100000003</v>
      </c>
      <c r="L32" s="219">
        <v>302672.91600000003</v>
      </c>
      <c r="M32" s="219">
        <v>252227.43</v>
      </c>
      <c r="N32" s="219">
        <f t="shared" si="0"/>
        <v>2446606.071</v>
      </c>
    </row>
    <row r="33" spans="2:14" s="182" customFormat="1" x14ac:dyDescent="0.25">
      <c r="B33" s="230">
        <v>25</v>
      </c>
      <c r="C33" s="254" t="s">
        <v>265</v>
      </c>
      <c r="D33" s="255">
        <v>882796.005</v>
      </c>
      <c r="E33" s="255">
        <v>168151.62</v>
      </c>
      <c r="F33" s="255">
        <v>201781.94400000002</v>
      </c>
      <c r="G33" s="255">
        <v>168151.62</v>
      </c>
      <c r="H33" s="219">
        <v>235412.26800000001</v>
      </c>
      <c r="I33" s="219">
        <v>168151.62</v>
      </c>
      <c r="J33" s="219">
        <v>100890.97200000001</v>
      </c>
      <c r="K33" s="219">
        <v>176559.20100000003</v>
      </c>
      <c r="L33" s="219">
        <v>605345.83200000005</v>
      </c>
      <c r="M33" s="219">
        <v>504454.86</v>
      </c>
      <c r="N33" s="219">
        <f t="shared" si="0"/>
        <v>3211695.9419999998</v>
      </c>
    </row>
    <row r="34" spans="2:14" s="182" customFormat="1" x14ac:dyDescent="0.25">
      <c r="B34" s="230">
        <v>26</v>
      </c>
      <c r="C34" s="254" t="s">
        <v>266</v>
      </c>
      <c r="D34" s="222">
        <v>0</v>
      </c>
      <c r="E34" s="255">
        <v>168151.62</v>
      </c>
      <c r="F34" s="255">
        <v>201781.94400000002</v>
      </c>
      <c r="G34" s="255">
        <v>168151.62</v>
      </c>
      <c r="H34" s="219">
        <v>235412.26800000001</v>
      </c>
      <c r="I34" s="219">
        <v>168151.62</v>
      </c>
      <c r="J34" s="219">
        <v>100890.97200000001</v>
      </c>
      <c r="K34" s="219">
        <v>0</v>
      </c>
      <c r="L34" s="219">
        <v>302672.91600000003</v>
      </c>
      <c r="M34" s="219">
        <v>252227.43</v>
      </c>
      <c r="N34" s="219">
        <f t="shared" si="0"/>
        <v>1597440.39</v>
      </c>
    </row>
    <row r="35" spans="2:14" s="182" customFormat="1" x14ac:dyDescent="0.25">
      <c r="B35" s="230">
        <v>27</v>
      </c>
      <c r="C35" s="254" t="s">
        <v>267</v>
      </c>
      <c r="D35" s="255">
        <v>672606.48</v>
      </c>
      <c r="E35" s="255">
        <v>168151.62</v>
      </c>
      <c r="F35" s="255">
        <v>201781.94400000002</v>
      </c>
      <c r="G35" s="255">
        <v>168151.62</v>
      </c>
      <c r="H35" s="219">
        <v>235412.26800000001</v>
      </c>
      <c r="I35" s="219">
        <v>168151.62</v>
      </c>
      <c r="J35" s="219">
        <v>100890.97200000001</v>
      </c>
      <c r="K35" s="219">
        <v>176559.20100000003</v>
      </c>
      <c r="L35" s="219">
        <v>302672.91600000003</v>
      </c>
      <c r="M35" s="219">
        <v>252227.43</v>
      </c>
      <c r="N35" s="219">
        <f t="shared" si="0"/>
        <v>2446606.071</v>
      </c>
    </row>
    <row r="36" spans="2:14" s="182" customFormat="1" x14ac:dyDescent="0.25">
      <c r="B36" s="230">
        <v>28</v>
      </c>
      <c r="C36" s="254" t="s">
        <v>268</v>
      </c>
      <c r="D36" s="255">
        <v>672606.48</v>
      </c>
      <c r="E36" s="255">
        <v>168151.62</v>
      </c>
      <c r="F36" s="255">
        <v>201781.94400000002</v>
      </c>
      <c r="G36" s="255">
        <v>168151.62</v>
      </c>
      <c r="H36" s="219">
        <v>235412.26800000001</v>
      </c>
      <c r="I36" s="219">
        <v>168151.62</v>
      </c>
      <c r="J36" s="219">
        <v>100890.97200000001</v>
      </c>
      <c r="K36" s="219">
        <v>176559.20100000003</v>
      </c>
      <c r="L36" s="219">
        <v>302672.91600000003</v>
      </c>
      <c r="M36" s="219">
        <v>252227.43</v>
      </c>
      <c r="N36" s="219">
        <f t="shared" si="0"/>
        <v>2446606.071</v>
      </c>
    </row>
    <row r="37" spans="2:14" s="182" customFormat="1" x14ac:dyDescent="0.25">
      <c r="B37" s="230">
        <v>29</v>
      </c>
      <c r="C37" s="254" t="s">
        <v>269</v>
      </c>
      <c r="D37" s="255">
        <v>672606.48</v>
      </c>
      <c r="E37" s="255">
        <v>168151.62</v>
      </c>
      <c r="F37" s="255">
        <v>201781.94400000002</v>
      </c>
      <c r="G37" s="255">
        <v>168151.62</v>
      </c>
      <c r="H37" s="219">
        <v>235412.26800000001</v>
      </c>
      <c r="I37" s="219">
        <v>168151.62</v>
      </c>
      <c r="J37" s="219">
        <v>100890.97200000001</v>
      </c>
      <c r="K37" s="219">
        <v>176559.20100000003</v>
      </c>
      <c r="L37" s="219">
        <v>302672.91600000003</v>
      </c>
      <c r="M37" s="219">
        <v>252227.43</v>
      </c>
      <c r="N37" s="219">
        <f t="shared" si="0"/>
        <v>2446606.071</v>
      </c>
    </row>
    <row r="38" spans="2:14" s="182" customFormat="1" x14ac:dyDescent="0.25">
      <c r="B38" s="230">
        <v>30</v>
      </c>
      <c r="C38" s="254" t="s">
        <v>270</v>
      </c>
      <c r="D38" s="255">
        <v>672606.48</v>
      </c>
      <c r="E38" s="255">
        <v>168151.62</v>
      </c>
      <c r="F38" s="255">
        <v>201781.94400000002</v>
      </c>
      <c r="G38" s="255">
        <v>168151.62</v>
      </c>
      <c r="H38" s="219">
        <v>235412.26800000001</v>
      </c>
      <c r="I38" s="219">
        <v>168151.62</v>
      </c>
      <c r="J38" s="219">
        <v>100890.97200000001</v>
      </c>
      <c r="K38" s="219">
        <v>176559.20100000003</v>
      </c>
      <c r="L38" s="219">
        <v>302672.91600000003</v>
      </c>
      <c r="M38" s="219">
        <v>252227.43</v>
      </c>
      <c r="N38" s="219">
        <f t="shared" si="0"/>
        <v>2446606.071</v>
      </c>
    </row>
    <row r="39" spans="2:14" s="182" customFormat="1" x14ac:dyDescent="0.25">
      <c r="B39" s="230">
        <v>31</v>
      </c>
      <c r="C39" s="254" t="s">
        <v>271</v>
      </c>
      <c r="D39" s="255">
        <v>672606.48</v>
      </c>
      <c r="E39" s="255">
        <v>168151.62</v>
      </c>
      <c r="F39" s="255">
        <v>201781.94400000002</v>
      </c>
      <c r="G39" s="255">
        <v>168151.62</v>
      </c>
      <c r="H39" s="219">
        <v>235412.26800000001</v>
      </c>
      <c r="I39" s="219">
        <v>168151.62</v>
      </c>
      <c r="J39" s="219">
        <v>100890.97200000001</v>
      </c>
      <c r="K39" s="219">
        <v>176559.20100000003</v>
      </c>
      <c r="L39" s="219">
        <v>302672.91600000003</v>
      </c>
      <c r="M39" s="219">
        <v>252227.43</v>
      </c>
      <c r="N39" s="219">
        <f t="shared" si="0"/>
        <v>2446606.071</v>
      </c>
    </row>
    <row r="40" spans="2:14" s="182" customFormat="1" x14ac:dyDescent="0.25">
      <c r="B40" s="230">
        <v>32</v>
      </c>
      <c r="C40" s="254" t="s">
        <v>272</v>
      </c>
      <c r="D40" s="222">
        <v>0</v>
      </c>
      <c r="E40" s="255">
        <v>168151.62</v>
      </c>
      <c r="F40" s="255">
        <v>201781.94400000002</v>
      </c>
      <c r="G40" s="255">
        <v>168151.62</v>
      </c>
      <c r="H40" s="219">
        <v>235412.26800000001</v>
      </c>
      <c r="I40" s="219">
        <v>168151.62</v>
      </c>
      <c r="J40" s="219">
        <v>100890.97200000001</v>
      </c>
      <c r="K40" s="219">
        <v>0</v>
      </c>
      <c r="L40" s="219">
        <v>302672.91600000003</v>
      </c>
      <c r="M40" s="219">
        <v>252227.43</v>
      </c>
      <c r="N40" s="219">
        <f t="shared" si="0"/>
        <v>1597440.39</v>
      </c>
    </row>
    <row r="41" spans="2:14" s="182" customFormat="1" x14ac:dyDescent="0.25">
      <c r="B41" s="230">
        <v>33</v>
      </c>
      <c r="C41" s="254" t="s">
        <v>273</v>
      </c>
      <c r="D41" s="222">
        <v>0</v>
      </c>
      <c r="E41" s="255">
        <v>168151.62</v>
      </c>
      <c r="F41" s="255">
        <v>201781.94400000002</v>
      </c>
      <c r="G41" s="255">
        <v>168151.62</v>
      </c>
      <c r="H41" s="219">
        <v>235412.26800000001</v>
      </c>
      <c r="I41" s="219">
        <v>168151.62</v>
      </c>
      <c r="J41" s="219">
        <v>100890.97200000001</v>
      </c>
      <c r="K41" s="219">
        <v>0</v>
      </c>
      <c r="L41" s="219">
        <v>302672.91600000003</v>
      </c>
      <c r="M41" s="219">
        <v>252227.43</v>
      </c>
      <c r="N41" s="219">
        <f t="shared" si="0"/>
        <v>1597440.39</v>
      </c>
    </row>
    <row r="42" spans="2:14" s="182" customFormat="1" x14ac:dyDescent="0.25">
      <c r="B42" s="230">
        <v>34</v>
      </c>
      <c r="C42" s="254" t="s">
        <v>274</v>
      </c>
      <c r="D42" s="255">
        <v>672606.48</v>
      </c>
      <c r="E42" s="255">
        <v>168151.62</v>
      </c>
      <c r="F42" s="255">
        <v>201781.94400000002</v>
      </c>
      <c r="G42" s="255">
        <v>168151.62</v>
      </c>
      <c r="H42" s="219">
        <v>235412.26800000001</v>
      </c>
      <c r="I42" s="219">
        <v>168151.62</v>
      </c>
      <c r="J42" s="219">
        <v>100890.97200000001</v>
      </c>
      <c r="K42" s="219">
        <v>176559.20100000003</v>
      </c>
      <c r="L42" s="219">
        <v>302672.91600000003</v>
      </c>
      <c r="M42" s="219">
        <v>252227.43</v>
      </c>
      <c r="N42" s="219">
        <f t="shared" si="0"/>
        <v>2446606.071</v>
      </c>
    </row>
    <row r="43" spans="2:14" s="182" customFormat="1" x14ac:dyDescent="0.25">
      <c r="B43" s="230">
        <v>35</v>
      </c>
      <c r="C43" s="254" t="s">
        <v>275</v>
      </c>
      <c r="D43" s="255">
        <v>672606.48</v>
      </c>
      <c r="E43" s="255">
        <v>168151.62</v>
      </c>
      <c r="F43" s="255">
        <v>201781.94400000002</v>
      </c>
      <c r="G43" s="255">
        <v>168151.62</v>
      </c>
      <c r="H43" s="219">
        <v>235412.26800000001</v>
      </c>
      <c r="I43" s="219">
        <v>168151.62</v>
      </c>
      <c r="J43" s="219">
        <v>100890.97200000001</v>
      </c>
      <c r="K43" s="219">
        <v>176559.20100000003</v>
      </c>
      <c r="L43" s="219">
        <v>302672.91600000003</v>
      </c>
      <c r="M43" s="219">
        <v>252227.43</v>
      </c>
      <c r="N43" s="219">
        <f t="shared" si="0"/>
        <v>2446606.071</v>
      </c>
    </row>
    <row r="44" spans="2:14" s="182" customFormat="1" x14ac:dyDescent="0.25">
      <c r="B44" s="230">
        <v>36</v>
      </c>
      <c r="C44" s="254" t="s">
        <v>296</v>
      </c>
      <c r="D44" s="255">
        <v>882796.005</v>
      </c>
      <c r="E44" s="255">
        <v>168151.62</v>
      </c>
      <c r="F44" s="255">
        <v>201781.94400000002</v>
      </c>
      <c r="G44" s="255">
        <v>168151.62</v>
      </c>
      <c r="H44" s="219">
        <v>235412.26800000001</v>
      </c>
      <c r="I44" s="219">
        <v>168151.62</v>
      </c>
      <c r="J44" s="219">
        <v>100890.97200000001</v>
      </c>
      <c r="K44" s="219">
        <v>176559.20100000003</v>
      </c>
      <c r="L44" s="219">
        <v>605345.83200000005</v>
      </c>
      <c r="M44" s="219">
        <v>504454.86</v>
      </c>
      <c r="N44" s="219">
        <f t="shared" si="0"/>
        <v>3211695.9419999998</v>
      </c>
    </row>
    <row r="45" spans="2:14" s="182" customFormat="1" x14ac:dyDescent="0.25">
      <c r="B45" s="230">
        <v>37</v>
      </c>
      <c r="C45" s="254" t="s">
        <v>277</v>
      </c>
      <c r="D45" s="255">
        <v>882796.005</v>
      </c>
      <c r="E45" s="255">
        <v>168151.62</v>
      </c>
      <c r="F45" s="255">
        <v>201781.94400000002</v>
      </c>
      <c r="G45" s="255">
        <v>168151.62</v>
      </c>
      <c r="H45" s="219">
        <v>235412.26800000001</v>
      </c>
      <c r="I45" s="219">
        <v>168151.62</v>
      </c>
      <c r="J45" s="219">
        <v>100890.97200000001</v>
      </c>
      <c r="K45" s="219">
        <v>176559.20100000003</v>
      </c>
      <c r="L45" s="219">
        <v>605345.83200000005</v>
      </c>
      <c r="M45" s="219">
        <v>504454.86</v>
      </c>
      <c r="N45" s="219">
        <f t="shared" si="0"/>
        <v>3211695.9419999998</v>
      </c>
    </row>
    <row r="46" spans="2:14" s="182" customFormat="1" x14ac:dyDescent="0.25">
      <c r="B46" s="230">
        <v>38</v>
      </c>
      <c r="C46" s="254" t="s">
        <v>278</v>
      </c>
      <c r="D46" s="255">
        <v>882796.005</v>
      </c>
      <c r="E46" s="255">
        <v>168151.62</v>
      </c>
      <c r="F46" s="255">
        <v>201781.94400000002</v>
      </c>
      <c r="G46" s="255">
        <v>168151.62</v>
      </c>
      <c r="H46" s="219">
        <v>235412.26800000001</v>
      </c>
      <c r="I46" s="219">
        <v>168151.62</v>
      </c>
      <c r="J46" s="219">
        <v>100890.97200000001</v>
      </c>
      <c r="K46" s="219">
        <v>176559.20100000003</v>
      </c>
      <c r="L46" s="219">
        <v>605345.83200000005</v>
      </c>
      <c r="M46" s="219">
        <v>504454.86</v>
      </c>
      <c r="N46" s="219">
        <f t="shared" si="0"/>
        <v>3211695.9419999998</v>
      </c>
    </row>
    <row r="47" spans="2:14" s="182" customFormat="1" x14ac:dyDescent="0.25">
      <c r="B47" s="230">
        <v>39</v>
      </c>
      <c r="C47" s="256" t="s">
        <v>279</v>
      </c>
      <c r="D47" s="1132">
        <v>0</v>
      </c>
      <c r="E47" s="255">
        <v>168151.62</v>
      </c>
      <c r="F47" s="255">
        <v>201781.94400000002</v>
      </c>
      <c r="G47" s="255">
        <v>168151.62</v>
      </c>
      <c r="H47" s="219">
        <v>235412.26800000001</v>
      </c>
      <c r="I47" s="219">
        <v>168151.62</v>
      </c>
      <c r="J47" s="219">
        <v>100890.97200000001</v>
      </c>
      <c r="K47" s="219">
        <v>0</v>
      </c>
      <c r="L47" s="219">
        <v>302672.91600000003</v>
      </c>
      <c r="M47" s="219">
        <v>252227.43</v>
      </c>
      <c r="N47" s="219">
        <f t="shared" si="0"/>
        <v>1597440.39</v>
      </c>
    </row>
    <row r="48" spans="2:14" s="182" customFormat="1" x14ac:dyDescent="0.25">
      <c r="B48" s="244">
        <v>40</v>
      </c>
      <c r="C48" s="254" t="s">
        <v>280</v>
      </c>
      <c r="D48" s="222">
        <v>0</v>
      </c>
      <c r="E48" s="222">
        <v>0</v>
      </c>
      <c r="F48" s="222">
        <v>0</v>
      </c>
      <c r="G48" s="222">
        <v>0</v>
      </c>
      <c r="H48" s="219">
        <v>0</v>
      </c>
      <c r="I48" s="219">
        <v>0</v>
      </c>
      <c r="J48" s="219">
        <v>0</v>
      </c>
      <c r="K48" s="219">
        <v>0</v>
      </c>
      <c r="L48" s="219">
        <v>302672.91600000003</v>
      </c>
      <c r="M48" s="219">
        <v>0</v>
      </c>
      <c r="N48" s="219">
        <f t="shared" si="0"/>
        <v>302672.91600000003</v>
      </c>
    </row>
    <row r="49" spans="2:14" s="182" customFormat="1" ht="15" customHeight="1" x14ac:dyDescent="0.25">
      <c r="B49" s="945" t="s">
        <v>297</v>
      </c>
      <c r="C49" s="947"/>
      <c r="D49" s="837">
        <f>SUM(D5:D48)</f>
        <v>19421512.110000007</v>
      </c>
      <c r="E49" s="837">
        <f>SUM(E5:E48)</f>
        <v>6557913.1800000034</v>
      </c>
      <c r="F49" s="837">
        <f t="shared" ref="F49:M49" si="1">SUM(F5:F48)</f>
        <v>7869495.8160000043</v>
      </c>
      <c r="G49" s="837">
        <f t="shared" si="1"/>
        <v>6557913.1800000034</v>
      </c>
      <c r="H49" s="837">
        <f t="shared" si="1"/>
        <v>9181078.4520000014</v>
      </c>
      <c r="I49" s="837">
        <f t="shared" si="1"/>
        <v>6557913.1800000034</v>
      </c>
      <c r="J49" s="837">
        <f t="shared" si="1"/>
        <v>3934747.9080000021</v>
      </c>
      <c r="K49" s="837">
        <f t="shared" si="1"/>
        <v>4767098.4270000011</v>
      </c>
      <c r="L49" s="837">
        <f t="shared" si="1"/>
        <v>13922954.135999996</v>
      </c>
      <c r="M49" s="837">
        <f t="shared" si="1"/>
        <v>11350234.349999994</v>
      </c>
      <c r="N49" s="224">
        <f>SUM(N5:N48)</f>
        <v>90120860.739000008</v>
      </c>
    </row>
    <row r="50" spans="2:14" s="182" customFormat="1" x14ac:dyDescent="0.25">
      <c r="B50" s="247"/>
      <c r="C50" s="257"/>
      <c r="D50" s="221"/>
      <c r="E50" s="221"/>
      <c r="F50" s="221"/>
      <c r="G50" s="221"/>
      <c r="H50" s="221"/>
      <c r="I50" s="221"/>
      <c r="J50" s="1020" t="s">
        <v>282</v>
      </c>
      <c r="K50" s="1021"/>
      <c r="L50" s="1021"/>
      <c r="M50" s="1022"/>
      <c r="N50" s="224">
        <f>N49*0.16</f>
        <v>14419337.718240002</v>
      </c>
    </row>
    <row r="51" spans="2:14" s="182" customFormat="1" x14ac:dyDescent="0.25">
      <c r="B51" s="247"/>
      <c r="C51" s="257"/>
      <c r="D51" s="221"/>
      <c r="E51" s="221"/>
      <c r="F51" s="221"/>
      <c r="G51" s="221"/>
      <c r="H51" s="221"/>
      <c r="I51" s="221"/>
      <c r="J51" s="1020" t="s">
        <v>161</v>
      </c>
      <c r="K51" s="1021"/>
      <c r="L51" s="1021"/>
      <c r="M51" s="1022"/>
      <c r="N51" s="224">
        <f>SUM(N49:N50)</f>
        <v>104540198.45724002</v>
      </c>
    </row>
    <row r="52" spans="2:14" s="182" customFormat="1" x14ac:dyDescent="0.25">
      <c r="B52" s="247"/>
      <c r="C52" s="257"/>
      <c r="D52" s="221"/>
      <c r="E52" s="221"/>
      <c r="F52" s="221"/>
      <c r="G52" s="221"/>
      <c r="H52" s="221"/>
      <c r="I52" s="221"/>
      <c r="J52" s="1020" t="s">
        <v>666</v>
      </c>
      <c r="K52" s="1021"/>
      <c r="L52" s="1021"/>
      <c r="M52" s="1022"/>
      <c r="N52" s="224">
        <f>N51*0.3</f>
        <v>31362059.537172005</v>
      </c>
    </row>
  </sheetData>
  <mergeCells count="5">
    <mergeCell ref="B3:N3"/>
    <mergeCell ref="B49:C49"/>
    <mergeCell ref="J50:M50"/>
    <mergeCell ref="J51:M51"/>
    <mergeCell ref="J52:M52"/>
  </mergeCells>
  <pageMargins left="0.7" right="0.7" top="0.75" bottom="0.75" header="0.3" footer="0.3"/>
  <pageSetup paperSize="5"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B0F0"/>
  </sheetPr>
  <dimension ref="A1:D22"/>
  <sheetViews>
    <sheetView view="pageLayout" zoomScaleNormal="100" workbookViewId="0">
      <selection sqref="A1:D22"/>
    </sheetView>
  </sheetViews>
  <sheetFormatPr baseColWidth="10" defaultRowHeight="15" x14ac:dyDescent="0.25"/>
  <cols>
    <col min="1" max="1" width="45.85546875" customWidth="1"/>
  </cols>
  <sheetData>
    <row r="1" spans="1:4" s="182" customFormat="1" ht="18" customHeight="1" x14ac:dyDescent="0.25">
      <c r="A1" s="867" t="s">
        <v>1394</v>
      </c>
      <c r="B1" s="867"/>
      <c r="C1" s="867"/>
      <c r="D1" s="867"/>
    </row>
    <row r="2" spans="1:4" s="182" customFormat="1" ht="18" customHeight="1" x14ac:dyDescent="0.25">
      <c r="A2" s="184" t="s">
        <v>0</v>
      </c>
      <c r="B2" s="184" t="s">
        <v>162</v>
      </c>
      <c r="C2" s="184" t="s">
        <v>163</v>
      </c>
      <c r="D2" s="184" t="s">
        <v>164</v>
      </c>
    </row>
    <row r="3" spans="1:4" s="182" customFormat="1" ht="27" customHeight="1" x14ac:dyDescent="0.25">
      <c r="A3" s="185" t="s">
        <v>165</v>
      </c>
      <c r="B3" s="186">
        <v>80000</v>
      </c>
      <c r="C3" s="187">
        <v>647.16750000000002</v>
      </c>
      <c r="D3" s="187">
        <f t="shared" ref="D3:D19" si="0">C3*B3</f>
        <v>51773400</v>
      </c>
    </row>
    <row r="4" spans="1:4" s="182" customFormat="1" ht="18" customHeight="1" x14ac:dyDescent="0.25">
      <c r="A4" s="185" t="s">
        <v>166</v>
      </c>
      <c r="B4" s="186">
        <v>2000</v>
      </c>
      <c r="C4" s="187">
        <v>6476.085</v>
      </c>
      <c r="D4" s="187">
        <f t="shared" si="0"/>
        <v>12952170</v>
      </c>
    </row>
    <row r="5" spans="1:4" s="182" customFormat="1" ht="18" customHeight="1" x14ac:dyDescent="0.25">
      <c r="A5" s="185" t="s">
        <v>167</v>
      </c>
      <c r="B5" s="186">
        <v>100</v>
      </c>
      <c r="C5" s="187">
        <v>16416.225000000002</v>
      </c>
      <c r="D5" s="187">
        <f t="shared" si="0"/>
        <v>1641622.5000000002</v>
      </c>
    </row>
    <row r="6" spans="1:4" s="182" customFormat="1" ht="18" customHeight="1" x14ac:dyDescent="0.25">
      <c r="A6" s="185" t="s">
        <v>168</v>
      </c>
      <c r="B6" s="186">
        <v>50000</v>
      </c>
      <c r="C6" s="187">
        <v>3238.0425</v>
      </c>
      <c r="D6" s="187">
        <f t="shared" si="0"/>
        <v>161902125</v>
      </c>
    </row>
    <row r="7" spans="1:4" s="182" customFormat="1" ht="18" customHeight="1" x14ac:dyDescent="0.25">
      <c r="A7" s="185" t="s">
        <v>169</v>
      </c>
      <c r="B7" s="186">
        <v>100000</v>
      </c>
      <c r="C7" s="187">
        <v>324.13499999999999</v>
      </c>
      <c r="D7" s="187">
        <f t="shared" si="0"/>
        <v>32413500</v>
      </c>
    </row>
    <row r="8" spans="1:4" s="182" customFormat="1" ht="18" customHeight="1" x14ac:dyDescent="0.25">
      <c r="A8" s="185" t="s">
        <v>170</v>
      </c>
      <c r="B8" s="186">
        <v>100000</v>
      </c>
      <c r="C8" s="187">
        <v>324.13499999999999</v>
      </c>
      <c r="D8" s="187">
        <f t="shared" si="0"/>
        <v>32413500</v>
      </c>
    </row>
    <row r="9" spans="1:4" s="182" customFormat="1" ht="18" customHeight="1" x14ac:dyDescent="0.25">
      <c r="A9" s="185" t="s">
        <v>171</v>
      </c>
      <c r="B9" s="186">
        <v>10000</v>
      </c>
      <c r="C9" s="187">
        <v>324.13499999999999</v>
      </c>
      <c r="D9" s="187">
        <f t="shared" si="0"/>
        <v>3241350</v>
      </c>
    </row>
    <row r="10" spans="1:4" s="182" customFormat="1" ht="18" customHeight="1" x14ac:dyDescent="0.25">
      <c r="A10" s="185" t="s">
        <v>172</v>
      </c>
      <c r="B10" s="186">
        <v>3000</v>
      </c>
      <c r="C10" s="187">
        <v>4317.3900000000003</v>
      </c>
      <c r="D10" s="187">
        <f t="shared" si="0"/>
        <v>12952170.000000002</v>
      </c>
    </row>
    <row r="11" spans="1:4" s="182" customFormat="1" ht="18" customHeight="1" x14ac:dyDescent="0.25">
      <c r="A11" s="185" t="s">
        <v>173</v>
      </c>
      <c r="B11" s="186">
        <v>1000</v>
      </c>
      <c r="C11" s="187">
        <v>21588.052500000002</v>
      </c>
      <c r="D11" s="187">
        <f t="shared" si="0"/>
        <v>21588052.5</v>
      </c>
    </row>
    <row r="12" spans="1:4" s="182" customFormat="1" ht="23.25" customHeight="1" x14ac:dyDescent="0.25">
      <c r="A12" s="185" t="s">
        <v>174</v>
      </c>
      <c r="B12" s="186">
        <v>3000</v>
      </c>
      <c r="C12" s="187">
        <v>1942.605</v>
      </c>
      <c r="D12" s="187">
        <f t="shared" si="0"/>
        <v>5827815</v>
      </c>
    </row>
    <row r="13" spans="1:4" s="182" customFormat="1" ht="18" customHeight="1" x14ac:dyDescent="0.25">
      <c r="A13" s="185" t="s">
        <v>175</v>
      </c>
      <c r="B13" s="186">
        <v>12</v>
      </c>
      <c r="C13" s="187">
        <v>107940.26250000001</v>
      </c>
      <c r="D13" s="187">
        <f t="shared" si="0"/>
        <v>1295283.1500000001</v>
      </c>
    </row>
    <row r="14" spans="1:4" s="182" customFormat="1" ht="18" customHeight="1" x14ac:dyDescent="0.25">
      <c r="A14" s="185" t="s">
        <v>176</v>
      </c>
      <c r="B14" s="186">
        <v>1</v>
      </c>
      <c r="C14" s="187">
        <v>708088.34250000003</v>
      </c>
      <c r="D14" s="187">
        <f t="shared" si="0"/>
        <v>708088.34250000003</v>
      </c>
    </row>
    <row r="15" spans="1:4" s="182" customFormat="1" ht="18" customHeight="1" x14ac:dyDescent="0.25">
      <c r="A15" s="185" t="s">
        <v>1850</v>
      </c>
      <c r="B15" s="186">
        <v>10</v>
      </c>
      <c r="C15" s="187">
        <v>431761.05000000005</v>
      </c>
      <c r="D15" s="187">
        <f t="shared" si="0"/>
        <v>4317610.5</v>
      </c>
    </row>
    <row r="16" spans="1:4" s="182" customFormat="1" ht="18" customHeight="1" x14ac:dyDescent="0.25">
      <c r="A16" s="185" t="s">
        <v>177</v>
      </c>
      <c r="B16" s="186">
        <v>1</v>
      </c>
      <c r="C16" s="187">
        <v>490637.85750000004</v>
      </c>
      <c r="D16" s="187">
        <f t="shared" si="0"/>
        <v>490637.85750000004</v>
      </c>
    </row>
    <row r="17" spans="1:4" s="182" customFormat="1" ht="18" customHeight="1" x14ac:dyDescent="0.25">
      <c r="A17" s="185" t="s">
        <v>178</v>
      </c>
      <c r="B17" s="186">
        <v>1</v>
      </c>
      <c r="C17" s="187">
        <v>1570039.3800000001</v>
      </c>
      <c r="D17" s="187">
        <f t="shared" si="0"/>
        <v>1570039.3800000001</v>
      </c>
    </row>
    <row r="18" spans="1:4" s="182" customFormat="1" ht="18" customHeight="1" x14ac:dyDescent="0.25">
      <c r="A18" s="185" t="s">
        <v>179</v>
      </c>
      <c r="B18" s="186">
        <v>1</v>
      </c>
      <c r="C18" s="187">
        <v>5887649.8799999999</v>
      </c>
      <c r="D18" s="187">
        <f t="shared" si="0"/>
        <v>5887649.8799999999</v>
      </c>
    </row>
    <row r="19" spans="1:4" s="182" customFormat="1" ht="18" customHeight="1" x14ac:dyDescent="0.25">
      <c r="A19" s="185" t="s">
        <v>1849</v>
      </c>
      <c r="B19" s="186">
        <v>1</v>
      </c>
      <c r="C19" s="187">
        <v>2205000</v>
      </c>
      <c r="D19" s="187">
        <f t="shared" si="0"/>
        <v>2205000</v>
      </c>
    </row>
    <row r="20" spans="1:4" s="182" customFormat="1" ht="18" customHeight="1" x14ac:dyDescent="0.25">
      <c r="A20" s="188"/>
      <c r="B20" s="871" t="s">
        <v>560</v>
      </c>
      <c r="C20" s="871"/>
      <c r="D20" s="189">
        <f>SUM(D3:D19)</f>
        <v>353180014.10999995</v>
      </c>
    </row>
    <row r="21" spans="1:4" s="182" customFormat="1" ht="18" customHeight="1" x14ac:dyDescent="0.25">
      <c r="A21" s="190"/>
      <c r="B21" s="871" t="s">
        <v>159</v>
      </c>
      <c r="C21" s="871"/>
      <c r="D21" s="189">
        <f>D20*0.16</f>
        <v>56508802.257599995</v>
      </c>
    </row>
    <row r="22" spans="1:4" s="182" customFormat="1" ht="18" customHeight="1" x14ac:dyDescent="0.25">
      <c r="A22" s="190"/>
      <c r="B22" s="871" t="s">
        <v>298</v>
      </c>
      <c r="C22" s="871"/>
      <c r="D22" s="189">
        <f>SUM(D20:D21)</f>
        <v>409688816.36759996</v>
      </c>
    </row>
  </sheetData>
  <mergeCells count="4">
    <mergeCell ref="A1:D1"/>
    <mergeCell ref="B20:C20"/>
    <mergeCell ref="B21:C21"/>
    <mergeCell ref="B22:C22"/>
  </mergeCells>
  <pageMargins left="0.7" right="0.7" top="0.75" bottom="0.75" header="0.3" footer="0.3"/>
  <pageSetup paperSize="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P49"/>
  <sheetViews>
    <sheetView view="pageLayout" workbookViewId="0">
      <selection activeCell="B2" sqref="B2:P48"/>
    </sheetView>
  </sheetViews>
  <sheetFormatPr baseColWidth="10" defaultRowHeight="15" x14ac:dyDescent="0.25"/>
  <cols>
    <col min="1" max="1" width="11.42578125" style="113"/>
    <col min="2" max="2" width="5.42578125" style="262" customWidth="1"/>
    <col min="3" max="3" width="20.28515625" style="113" customWidth="1"/>
    <col min="4" max="14" width="11.5703125" style="113" bestFit="1" customWidth="1"/>
    <col min="15" max="15" width="11.5703125" style="113" customWidth="1"/>
    <col min="16" max="16" width="12.5703125" style="113" bestFit="1" customWidth="1"/>
    <col min="17" max="16384" width="11.42578125" style="113"/>
  </cols>
  <sheetData>
    <row r="2" spans="2:16" x14ac:dyDescent="0.25">
      <c r="B2" s="1032" t="s">
        <v>1420</v>
      </c>
      <c r="C2" s="1032"/>
      <c r="D2" s="1032"/>
      <c r="E2" s="1032"/>
      <c r="F2" s="1032"/>
      <c r="G2" s="1032"/>
      <c r="H2" s="1032"/>
      <c r="I2" s="1032"/>
      <c r="J2" s="1032"/>
      <c r="K2" s="1032"/>
      <c r="L2" s="1032"/>
      <c r="M2" s="1032"/>
      <c r="N2" s="1032"/>
      <c r="O2" s="1032"/>
      <c r="P2" s="1032"/>
    </row>
    <row r="3" spans="2:16" x14ac:dyDescent="0.25">
      <c r="B3" s="1038" t="s">
        <v>346</v>
      </c>
      <c r="C3" s="1041" t="s">
        <v>287</v>
      </c>
      <c r="D3" s="887" t="s">
        <v>629</v>
      </c>
      <c r="E3" s="887" t="s">
        <v>630</v>
      </c>
      <c r="F3" s="887" t="s">
        <v>631</v>
      </c>
      <c r="G3" s="887" t="s">
        <v>632</v>
      </c>
      <c r="H3" s="887" t="s">
        <v>633</v>
      </c>
      <c r="I3" s="887" t="s">
        <v>634</v>
      </c>
      <c r="J3" s="887" t="s">
        <v>635</v>
      </c>
      <c r="K3" s="887" t="s">
        <v>636</v>
      </c>
      <c r="L3" s="887" t="s">
        <v>637</v>
      </c>
      <c r="M3" s="887" t="s">
        <v>638</v>
      </c>
      <c r="N3" s="887" t="s">
        <v>639</v>
      </c>
      <c r="O3" s="887" t="s">
        <v>640</v>
      </c>
      <c r="P3" s="1038" t="s">
        <v>1460</v>
      </c>
    </row>
    <row r="4" spans="2:16" x14ac:dyDescent="0.25">
      <c r="B4" s="1039"/>
      <c r="C4" s="1042"/>
      <c r="D4" s="887"/>
      <c r="E4" s="887"/>
      <c r="F4" s="887"/>
      <c r="G4" s="887"/>
      <c r="H4" s="887"/>
      <c r="I4" s="887"/>
      <c r="J4" s="887"/>
      <c r="K4" s="887"/>
      <c r="L4" s="887"/>
      <c r="M4" s="887"/>
      <c r="N4" s="887"/>
      <c r="O4" s="887"/>
      <c r="P4" s="1039"/>
    </row>
    <row r="5" spans="2:16" x14ac:dyDescent="0.25">
      <c r="B5" s="1040"/>
      <c r="C5" s="1043"/>
      <c r="D5" s="887"/>
      <c r="E5" s="887"/>
      <c r="F5" s="887"/>
      <c r="G5" s="887"/>
      <c r="H5" s="887"/>
      <c r="I5" s="887"/>
      <c r="J5" s="887"/>
      <c r="K5" s="887"/>
      <c r="L5" s="887"/>
      <c r="M5" s="887"/>
      <c r="N5" s="887"/>
      <c r="O5" s="887"/>
      <c r="P5" s="1040"/>
    </row>
    <row r="6" spans="2:16" x14ac:dyDescent="0.25">
      <c r="B6" s="230">
        <v>1</v>
      </c>
      <c r="C6" s="254" t="s">
        <v>241</v>
      </c>
      <c r="D6" s="219">
        <v>350000</v>
      </c>
      <c r="E6" s="219">
        <v>0</v>
      </c>
      <c r="F6" s="219">
        <v>0</v>
      </c>
      <c r="G6" s="219">
        <v>350000</v>
      </c>
      <c r="H6" s="219">
        <v>0</v>
      </c>
      <c r="I6" s="219">
        <v>0</v>
      </c>
      <c r="J6" s="219">
        <v>350000</v>
      </c>
      <c r="K6" s="219">
        <v>0</v>
      </c>
      <c r="L6" s="219">
        <v>0</v>
      </c>
      <c r="M6" s="219">
        <v>350000</v>
      </c>
      <c r="N6" s="219">
        <v>0</v>
      </c>
      <c r="O6" s="219">
        <v>0</v>
      </c>
      <c r="P6" s="219">
        <f t="shared" ref="P6:P43" si="0">SUM(D6:O6)</f>
        <v>1400000</v>
      </c>
    </row>
    <row r="7" spans="2:16" x14ac:dyDescent="0.25">
      <c r="B7" s="230">
        <v>2</v>
      </c>
      <c r="C7" s="254" t="s">
        <v>242</v>
      </c>
      <c r="D7" s="219">
        <v>350000</v>
      </c>
      <c r="E7" s="219">
        <v>0</v>
      </c>
      <c r="F7" s="219">
        <v>0</v>
      </c>
      <c r="G7" s="219">
        <v>350000</v>
      </c>
      <c r="H7" s="219">
        <v>0</v>
      </c>
      <c r="I7" s="219">
        <v>0</v>
      </c>
      <c r="J7" s="219">
        <v>350000</v>
      </c>
      <c r="K7" s="219">
        <v>0</v>
      </c>
      <c r="L7" s="219">
        <v>0</v>
      </c>
      <c r="M7" s="219">
        <v>350000</v>
      </c>
      <c r="N7" s="219">
        <v>0</v>
      </c>
      <c r="O7" s="219">
        <v>0</v>
      </c>
      <c r="P7" s="219">
        <f t="shared" si="0"/>
        <v>1400000</v>
      </c>
    </row>
    <row r="8" spans="2:16" x14ac:dyDescent="0.25">
      <c r="B8" s="230">
        <v>3</v>
      </c>
      <c r="C8" s="254" t="s">
        <v>243</v>
      </c>
      <c r="D8" s="219">
        <v>350000</v>
      </c>
      <c r="E8" s="219">
        <v>0</v>
      </c>
      <c r="F8" s="219">
        <v>0</v>
      </c>
      <c r="G8" s="219">
        <v>350000</v>
      </c>
      <c r="H8" s="219">
        <v>0</v>
      </c>
      <c r="I8" s="219">
        <v>0</v>
      </c>
      <c r="J8" s="219">
        <v>350000</v>
      </c>
      <c r="K8" s="219">
        <v>0</v>
      </c>
      <c r="L8" s="219">
        <v>0</v>
      </c>
      <c r="M8" s="219">
        <v>350000</v>
      </c>
      <c r="N8" s="219">
        <v>0</v>
      </c>
      <c r="O8" s="219">
        <v>0</v>
      </c>
      <c r="P8" s="219">
        <f t="shared" si="0"/>
        <v>1400000</v>
      </c>
    </row>
    <row r="9" spans="2:16" x14ac:dyDescent="0.25">
      <c r="B9" s="230">
        <v>4</v>
      </c>
      <c r="C9" s="254" t="s">
        <v>244</v>
      </c>
      <c r="D9" s="219">
        <v>350000</v>
      </c>
      <c r="E9" s="219">
        <v>0</v>
      </c>
      <c r="F9" s="219">
        <v>0</v>
      </c>
      <c r="G9" s="219">
        <v>350000</v>
      </c>
      <c r="H9" s="219">
        <v>0</v>
      </c>
      <c r="I9" s="219">
        <v>0</v>
      </c>
      <c r="J9" s="219">
        <v>350000</v>
      </c>
      <c r="K9" s="219">
        <v>0</v>
      </c>
      <c r="L9" s="219">
        <v>0</v>
      </c>
      <c r="M9" s="219">
        <v>350000</v>
      </c>
      <c r="N9" s="219">
        <v>0</v>
      </c>
      <c r="O9" s="219">
        <v>0</v>
      </c>
      <c r="P9" s="219">
        <f t="shared" si="0"/>
        <v>1400000</v>
      </c>
    </row>
    <row r="10" spans="2:16" x14ac:dyDescent="0.25">
      <c r="B10" s="230">
        <v>5</v>
      </c>
      <c r="C10" s="254" t="s">
        <v>245</v>
      </c>
      <c r="D10" s="219">
        <v>350000</v>
      </c>
      <c r="E10" s="219">
        <v>0</v>
      </c>
      <c r="F10" s="219">
        <v>0</v>
      </c>
      <c r="G10" s="219">
        <v>350000</v>
      </c>
      <c r="H10" s="219">
        <v>0</v>
      </c>
      <c r="I10" s="219">
        <v>0</v>
      </c>
      <c r="J10" s="219">
        <v>350000</v>
      </c>
      <c r="K10" s="219">
        <v>0</v>
      </c>
      <c r="L10" s="219">
        <v>0</v>
      </c>
      <c r="M10" s="219">
        <v>350000</v>
      </c>
      <c r="N10" s="219">
        <v>0</v>
      </c>
      <c r="O10" s="219">
        <v>0</v>
      </c>
      <c r="P10" s="219">
        <f t="shared" si="0"/>
        <v>1400000</v>
      </c>
    </row>
    <row r="11" spans="2:16" x14ac:dyDescent="0.25">
      <c r="B11" s="230">
        <v>6</v>
      </c>
      <c r="C11" s="254" t="s">
        <v>246</v>
      </c>
      <c r="D11" s="219">
        <v>350000</v>
      </c>
      <c r="E11" s="219">
        <v>0</v>
      </c>
      <c r="F11" s="219">
        <v>0</v>
      </c>
      <c r="G11" s="219">
        <v>350000</v>
      </c>
      <c r="H11" s="219">
        <v>0</v>
      </c>
      <c r="I11" s="219">
        <v>0</v>
      </c>
      <c r="J11" s="219">
        <v>350000</v>
      </c>
      <c r="K11" s="219">
        <v>0</v>
      </c>
      <c r="L11" s="219">
        <v>0</v>
      </c>
      <c r="M11" s="219">
        <v>350000</v>
      </c>
      <c r="N11" s="219">
        <v>0</v>
      </c>
      <c r="O11" s="219">
        <v>0</v>
      </c>
      <c r="P11" s="219">
        <f t="shared" si="0"/>
        <v>1400000</v>
      </c>
    </row>
    <row r="12" spans="2:16" x14ac:dyDescent="0.25">
      <c r="B12" s="230">
        <v>7</v>
      </c>
      <c r="C12" s="254" t="s">
        <v>248</v>
      </c>
      <c r="D12" s="219">
        <v>350000</v>
      </c>
      <c r="E12" s="219">
        <v>0</v>
      </c>
      <c r="F12" s="219">
        <v>0</v>
      </c>
      <c r="G12" s="219">
        <v>350000</v>
      </c>
      <c r="H12" s="219">
        <v>0</v>
      </c>
      <c r="I12" s="219">
        <v>0</v>
      </c>
      <c r="J12" s="219">
        <v>350000</v>
      </c>
      <c r="K12" s="219">
        <v>0</v>
      </c>
      <c r="L12" s="219">
        <v>0</v>
      </c>
      <c r="M12" s="219">
        <v>350000</v>
      </c>
      <c r="N12" s="219">
        <v>0</v>
      </c>
      <c r="O12" s="219">
        <v>0</v>
      </c>
      <c r="P12" s="219">
        <f t="shared" si="0"/>
        <v>1400000</v>
      </c>
    </row>
    <row r="13" spans="2:16" x14ac:dyDescent="0.25">
      <c r="B13" s="230">
        <v>8</v>
      </c>
      <c r="C13" s="258" t="s">
        <v>249</v>
      </c>
      <c r="D13" s="219">
        <v>350000</v>
      </c>
      <c r="E13" s="219">
        <v>0</v>
      </c>
      <c r="F13" s="219">
        <v>0</v>
      </c>
      <c r="G13" s="219">
        <v>350000</v>
      </c>
      <c r="H13" s="219">
        <v>0</v>
      </c>
      <c r="I13" s="219">
        <v>0</v>
      </c>
      <c r="J13" s="219">
        <v>350000</v>
      </c>
      <c r="K13" s="219">
        <v>0</v>
      </c>
      <c r="L13" s="219">
        <v>0</v>
      </c>
      <c r="M13" s="219">
        <v>350000</v>
      </c>
      <c r="N13" s="219">
        <v>0</v>
      </c>
      <c r="O13" s="219">
        <v>0</v>
      </c>
      <c r="P13" s="219">
        <f t="shared" si="0"/>
        <v>1400000</v>
      </c>
    </row>
    <row r="14" spans="2:16" x14ac:dyDescent="0.25">
      <c r="B14" s="230">
        <v>9</v>
      </c>
      <c r="C14" s="254" t="s">
        <v>250</v>
      </c>
      <c r="D14" s="219">
        <v>350000</v>
      </c>
      <c r="E14" s="219">
        <v>0</v>
      </c>
      <c r="F14" s="219">
        <v>0</v>
      </c>
      <c r="G14" s="219">
        <v>350000</v>
      </c>
      <c r="H14" s="219">
        <v>0</v>
      </c>
      <c r="I14" s="219">
        <v>0</v>
      </c>
      <c r="J14" s="219">
        <v>350000</v>
      </c>
      <c r="K14" s="219">
        <v>0</v>
      </c>
      <c r="L14" s="219">
        <v>0</v>
      </c>
      <c r="M14" s="219">
        <v>350000</v>
      </c>
      <c r="N14" s="219">
        <v>0</v>
      </c>
      <c r="O14" s="219">
        <v>0</v>
      </c>
      <c r="P14" s="219">
        <f t="shared" si="0"/>
        <v>1400000</v>
      </c>
    </row>
    <row r="15" spans="2:16" x14ac:dyDescent="0.25">
      <c r="B15" s="230">
        <v>10</v>
      </c>
      <c r="C15" s="254" t="s">
        <v>251</v>
      </c>
      <c r="D15" s="219">
        <v>350000</v>
      </c>
      <c r="E15" s="219">
        <v>0</v>
      </c>
      <c r="F15" s="219">
        <v>0</v>
      </c>
      <c r="G15" s="219">
        <v>350000</v>
      </c>
      <c r="H15" s="219">
        <v>0</v>
      </c>
      <c r="I15" s="219">
        <v>0</v>
      </c>
      <c r="J15" s="219">
        <v>350000</v>
      </c>
      <c r="K15" s="219">
        <v>0</v>
      </c>
      <c r="L15" s="219">
        <v>0</v>
      </c>
      <c r="M15" s="219">
        <v>350000</v>
      </c>
      <c r="N15" s="219">
        <v>0</v>
      </c>
      <c r="O15" s="219">
        <v>0</v>
      </c>
      <c r="P15" s="219">
        <f t="shared" si="0"/>
        <v>1400000</v>
      </c>
    </row>
    <row r="16" spans="2:16" x14ac:dyDescent="0.25">
      <c r="B16" s="230">
        <v>11</v>
      </c>
      <c r="C16" s="254" t="s">
        <v>252</v>
      </c>
      <c r="D16" s="219">
        <v>350000</v>
      </c>
      <c r="E16" s="219">
        <v>0</v>
      </c>
      <c r="F16" s="219">
        <v>0</v>
      </c>
      <c r="G16" s="219">
        <v>350000</v>
      </c>
      <c r="H16" s="219">
        <v>0</v>
      </c>
      <c r="I16" s="219">
        <v>0</v>
      </c>
      <c r="J16" s="219">
        <v>350000</v>
      </c>
      <c r="K16" s="219">
        <v>0</v>
      </c>
      <c r="L16" s="219">
        <v>0</v>
      </c>
      <c r="M16" s="219">
        <v>350000</v>
      </c>
      <c r="N16" s="219">
        <v>0</v>
      </c>
      <c r="O16" s="219">
        <v>0</v>
      </c>
      <c r="P16" s="219">
        <f t="shared" si="0"/>
        <v>1400000</v>
      </c>
    </row>
    <row r="17" spans="2:16" x14ac:dyDescent="0.25">
      <c r="B17" s="230">
        <v>12</v>
      </c>
      <c r="C17" s="254" t="s">
        <v>253</v>
      </c>
      <c r="D17" s="219">
        <v>350000</v>
      </c>
      <c r="E17" s="219">
        <v>0</v>
      </c>
      <c r="F17" s="219">
        <v>0</v>
      </c>
      <c r="G17" s="219">
        <v>350000</v>
      </c>
      <c r="H17" s="219">
        <v>0</v>
      </c>
      <c r="I17" s="219">
        <v>0</v>
      </c>
      <c r="J17" s="219">
        <v>350000</v>
      </c>
      <c r="K17" s="219">
        <v>0</v>
      </c>
      <c r="L17" s="219">
        <v>0</v>
      </c>
      <c r="M17" s="219">
        <v>350000</v>
      </c>
      <c r="N17" s="219">
        <v>0</v>
      </c>
      <c r="O17" s="219">
        <v>0</v>
      </c>
      <c r="P17" s="219">
        <f t="shared" si="0"/>
        <v>1400000</v>
      </c>
    </row>
    <row r="18" spans="2:16" x14ac:dyDescent="0.25">
      <c r="B18" s="230">
        <v>13</v>
      </c>
      <c r="C18" s="258" t="s">
        <v>254</v>
      </c>
      <c r="D18" s="219">
        <v>0</v>
      </c>
      <c r="E18" s="219">
        <v>350000</v>
      </c>
      <c r="F18" s="219">
        <v>0</v>
      </c>
      <c r="G18" s="219">
        <v>0</v>
      </c>
      <c r="H18" s="219">
        <v>0</v>
      </c>
      <c r="I18" s="219">
        <v>0</v>
      </c>
      <c r="J18" s="219">
        <v>0</v>
      </c>
      <c r="K18" s="219">
        <v>350000</v>
      </c>
      <c r="L18" s="219">
        <v>0</v>
      </c>
      <c r="M18" s="219">
        <v>0</v>
      </c>
      <c r="N18" s="219">
        <v>350000</v>
      </c>
      <c r="O18" s="219">
        <v>0</v>
      </c>
      <c r="P18" s="219">
        <f t="shared" si="0"/>
        <v>1050000</v>
      </c>
    </row>
    <row r="19" spans="2:16" x14ac:dyDescent="0.25">
      <c r="B19" s="230">
        <v>14</v>
      </c>
      <c r="C19" s="254" t="s">
        <v>255</v>
      </c>
      <c r="D19" s="219">
        <v>0</v>
      </c>
      <c r="E19" s="219">
        <v>350000</v>
      </c>
      <c r="F19" s="219">
        <v>0</v>
      </c>
      <c r="G19" s="219">
        <v>0</v>
      </c>
      <c r="H19" s="219">
        <v>0</v>
      </c>
      <c r="I19" s="219">
        <v>0</v>
      </c>
      <c r="J19" s="219">
        <v>0</v>
      </c>
      <c r="K19" s="219">
        <v>350000</v>
      </c>
      <c r="L19" s="219">
        <v>0</v>
      </c>
      <c r="M19" s="219">
        <v>0</v>
      </c>
      <c r="N19" s="219">
        <v>350000</v>
      </c>
      <c r="O19" s="219">
        <v>0</v>
      </c>
      <c r="P19" s="219">
        <f t="shared" si="0"/>
        <v>1050000</v>
      </c>
    </row>
    <row r="20" spans="2:16" x14ac:dyDescent="0.25">
      <c r="B20" s="230">
        <v>15</v>
      </c>
      <c r="C20" s="254" t="s">
        <v>256</v>
      </c>
      <c r="D20" s="219">
        <v>0</v>
      </c>
      <c r="E20" s="219">
        <v>350000</v>
      </c>
      <c r="F20" s="219">
        <v>0</v>
      </c>
      <c r="G20" s="219">
        <v>0</v>
      </c>
      <c r="H20" s="219">
        <v>0</v>
      </c>
      <c r="I20" s="219">
        <v>0</v>
      </c>
      <c r="J20" s="219">
        <v>0</v>
      </c>
      <c r="K20" s="219">
        <v>350000</v>
      </c>
      <c r="L20" s="219">
        <v>0</v>
      </c>
      <c r="M20" s="219">
        <v>0</v>
      </c>
      <c r="N20" s="219">
        <v>350000</v>
      </c>
      <c r="O20" s="219">
        <v>0</v>
      </c>
      <c r="P20" s="219">
        <f t="shared" si="0"/>
        <v>1050000</v>
      </c>
    </row>
    <row r="21" spans="2:16" x14ac:dyDescent="0.25">
      <c r="B21" s="230">
        <v>16</v>
      </c>
      <c r="C21" s="254" t="s">
        <v>257</v>
      </c>
      <c r="D21" s="219">
        <v>0</v>
      </c>
      <c r="E21" s="219">
        <v>350000</v>
      </c>
      <c r="F21" s="219">
        <v>0</v>
      </c>
      <c r="G21" s="219">
        <v>0</v>
      </c>
      <c r="H21" s="219">
        <v>0</v>
      </c>
      <c r="I21" s="219">
        <v>0</v>
      </c>
      <c r="J21" s="219">
        <v>0</v>
      </c>
      <c r="K21" s="219">
        <v>350000</v>
      </c>
      <c r="L21" s="219">
        <v>0</v>
      </c>
      <c r="M21" s="219">
        <v>0</v>
      </c>
      <c r="N21" s="219">
        <v>350000</v>
      </c>
      <c r="O21" s="219">
        <v>0</v>
      </c>
      <c r="P21" s="219">
        <f t="shared" si="0"/>
        <v>1050000</v>
      </c>
    </row>
    <row r="22" spans="2:16" x14ac:dyDescent="0.25">
      <c r="B22" s="230">
        <v>17</v>
      </c>
      <c r="C22" s="254" t="s">
        <v>258</v>
      </c>
      <c r="D22" s="219">
        <v>0</v>
      </c>
      <c r="E22" s="219">
        <v>350000</v>
      </c>
      <c r="F22" s="219">
        <v>0</v>
      </c>
      <c r="G22" s="219">
        <v>0</v>
      </c>
      <c r="H22" s="219">
        <v>0</v>
      </c>
      <c r="I22" s="219">
        <v>0</v>
      </c>
      <c r="J22" s="219">
        <v>0</v>
      </c>
      <c r="K22" s="219">
        <v>350000</v>
      </c>
      <c r="L22" s="219">
        <v>0</v>
      </c>
      <c r="M22" s="219">
        <v>0</v>
      </c>
      <c r="N22" s="219">
        <v>350000</v>
      </c>
      <c r="O22" s="219">
        <v>0</v>
      </c>
      <c r="P22" s="219">
        <f t="shared" si="0"/>
        <v>1050000</v>
      </c>
    </row>
    <row r="23" spans="2:16" x14ac:dyDescent="0.25">
      <c r="B23" s="230">
        <v>18</v>
      </c>
      <c r="C23" s="254" t="s">
        <v>259</v>
      </c>
      <c r="D23" s="219">
        <v>0</v>
      </c>
      <c r="E23" s="219">
        <v>350000</v>
      </c>
      <c r="F23" s="219">
        <v>0</v>
      </c>
      <c r="G23" s="219">
        <v>0</v>
      </c>
      <c r="H23" s="219">
        <v>0</v>
      </c>
      <c r="I23" s="219">
        <v>0</v>
      </c>
      <c r="J23" s="219">
        <v>0</v>
      </c>
      <c r="K23" s="219">
        <v>350000</v>
      </c>
      <c r="L23" s="219">
        <v>0</v>
      </c>
      <c r="M23" s="219">
        <v>0</v>
      </c>
      <c r="N23" s="219">
        <v>350000</v>
      </c>
      <c r="O23" s="219">
        <v>0</v>
      </c>
      <c r="P23" s="219">
        <f t="shared" si="0"/>
        <v>1050000</v>
      </c>
    </row>
    <row r="24" spans="2:16" x14ac:dyDescent="0.25">
      <c r="B24" s="230">
        <v>19</v>
      </c>
      <c r="C24" s="254" t="s">
        <v>260</v>
      </c>
      <c r="D24" s="219">
        <v>0</v>
      </c>
      <c r="E24" s="219">
        <v>350000</v>
      </c>
      <c r="F24" s="219">
        <v>0</v>
      </c>
      <c r="G24" s="219">
        <v>0</v>
      </c>
      <c r="H24" s="219">
        <v>0</v>
      </c>
      <c r="I24" s="219">
        <v>0</v>
      </c>
      <c r="J24" s="219">
        <v>0</v>
      </c>
      <c r="K24" s="219">
        <v>350000</v>
      </c>
      <c r="L24" s="219">
        <v>0</v>
      </c>
      <c r="M24" s="219">
        <v>0</v>
      </c>
      <c r="N24" s="219">
        <v>350000</v>
      </c>
      <c r="O24" s="219">
        <v>0</v>
      </c>
      <c r="P24" s="219">
        <f t="shared" si="0"/>
        <v>1050000</v>
      </c>
    </row>
    <row r="25" spans="2:16" x14ac:dyDescent="0.25">
      <c r="B25" s="230">
        <v>20</v>
      </c>
      <c r="C25" s="254" t="s">
        <v>261</v>
      </c>
      <c r="D25" s="219">
        <v>0</v>
      </c>
      <c r="E25" s="219">
        <v>350000</v>
      </c>
      <c r="F25" s="219">
        <v>0</v>
      </c>
      <c r="G25" s="219">
        <v>0</v>
      </c>
      <c r="H25" s="219">
        <v>0</v>
      </c>
      <c r="I25" s="219">
        <v>0</v>
      </c>
      <c r="J25" s="219">
        <v>0</v>
      </c>
      <c r="K25" s="219">
        <v>350000</v>
      </c>
      <c r="L25" s="219">
        <v>0</v>
      </c>
      <c r="M25" s="219">
        <v>0</v>
      </c>
      <c r="N25" s="219">
        <v>350000</v>
      </c>
      <c r="O25" s="219">
        <v>0</v>
      </c>
      <c r="P25" s="219">
        <f t="shared" si="0"/>
        <v>1050000</v>
      </c>
    </row>
    <row r="26" spans="2:16" x14ac:dyDescent="0.25">
      <c r="B26" s="230">
        <v>21</v>
      </c>
      <c r="C26" s="254" t="s">
        <v>262</v>
      </c>
      <c r="D26" s="219">
        <v>0</v>
      </c>
      <c r="E26" s="219">
        <v>350000</v>
      </c>
      <c r="F26" s="219">
        <v>0</v>
      </c>
      <c r="G26" s="219">
        <v>0</v>
      </c>
      <c r="H26" s="219">
        <v>0</v>
      </c>
      <c r="I26" s="219">
        <v>0</v>
      </c>
      <c r="J26" s="219">
        <v>0</v>
      </c>
      <c r="K26" s="219">
        <v>350000</v>
      </c>
      <c r="L26" s="219">
        <v>0</v>
      </c>
      <c r="M26" s="219">
        <v>0</v>
      </c>
      <c r="N26" s="219">
        <v>350000</v>
      </c>
      <c r="O26" s="219">
        <v>0</v>
      </c>
      <c r="P26" s="219">
        <f t="shared" si="0"/>
        <v>1050000</v>
      </c>
    </row>
    <row r="27" spans="2:16" x14ac:dyDescent="0.25">
      <c r="B27" s="230">
        <v>22</v>
      </c>
      <c r="C27" s="254" t="s">
        <v>263</v>
      </c>
      <c r="D27" s="219">
        <v>0</v>
      </c>
      <c r="E27" s="219">
        <v>350000</v>
      </c>
      <c r="F27" s="219">
        <v>0</v>
      </c>
      <c r="G27" s="219">
        <v>0</v>
      </c>
      <c r="H27" s="219">
        <v>0</v>
      </c>
      <c r="I27" s="219">
        <v>0</v>
      </c>
      <c r="J27" s="219">
        <v>0</v>
      </c>
      <c r="K27" s="219">
        <v>350000</v>
      </c>
      <c r="L27" s="219">
        <v>0</v>
      </c>
      <c r="M27" s="219">
        <v>0</v>
      </c>
      <c r="N27" s="219">
        <v>350000</v>
      </c>
      <c r="O27" s="219">
        <v>0</v>
      </c>
      <c r="P27" s="219">
        <f t="shared" si="0"/>
        <v>1050000</v>
      </c>
    </row>
    <row r="28" spans="2:16" x14ac:dyDescent="0.25">
      <c r="B28" s="230">
        <v>23</v>
      </c>
      <c r="C28" s="254" t="s">
        <v>264</v>
      </c>
      <c r="D28" s="219">
        <v>0</v>
      </c>
      <c r="E28" s="219">
        <v>350000</v>
      </c>
      <c r="F28" s="219">
        <v>0</v>
      </c>
      <c r="G28" s="219">
        <v>0</v>
      </c>
      <c r="H28" s="219">
        <v>0</v>
      </c>
      <c r="I28" s="219">
        <v>0</v>
      </c>
      <c r="J28" s="219">
        <v>0</v>
      </c>
      <c r="K28" s="219">
        <v>350000</v>
      </c>
      <c r="L28" s="219">
        <v>0</v>
      </c>
      <c r="M28" s="219">
        <v>0</v>
      </c>
      <c r="N28" s="219">
        <v>350000</v>
      </c>
      <c r="O28" s="219">
        <v>0</v>
      </c>
      <c r="P28" s="219">
        <f t="shared" si="0"/>
        <v>1050000</v>
      </c>
    </row>
    <row r="29" spans="2:16" x14ac:dyDescent="0.25">
      <c r="B29" s="230">
        <v>24</v>
      </c>
      <c r="C29" s="254" t="s">
        <v>265</v>
      </c>
      <c r="D29" s="219">
        <v>0</v>
      </c>
      <c r="E29" s="219">
        <v>350000</v>
      </c>
      <c r="F29" s="219">
        <v>0</v>
      </c>
      <c r="G29" s="219">
        <v>0</v>
      </c>
      <c r="H29" s="219">
        <v>0</v>
      </c>
      <c r="I29" s="219">
        <v>0</v>
      </c>
      <c r="J29" s="219">
        <v>0</v>
      </c>
      <c r="K29" s="219">
        <v>350000</v>
      </c>
      <c r="L29" s="219">
        <v>0</v>
      </c>
      <c r="M29" s="219">
        <v>0</v>
      </c>
      <c r="N29" s="219">
        <v>350000</v>
      </c>
      <c r="O29" s="219">
        <v>0</v>
      </c>
      <c r="P29" s="219">
        <f t="shared" si="0"/>
        <v>1050000</v>
      </c>
    </row>
    <row r="30" spans="2:16" x14ac:dyDescent="0.25">
      <c r="B30" s="230">
        <v>25</v>
      </c>
      <c r="C30" s="254" t="s">
        <v>266</v>
      </c>
      <c r="D30" s="219">
        <v>0</v>
      </c>
      <c r="E30" s="219">
        <v>0</v>
      </c>
      <c r="F30" s="219">
        <v>350000</v>
      </c>
      <c r="G30" s="219">
        <v>0</v>
      </c>
      <c r="H30" s="219">
        <v>350000</v>
      </c>
      <c r="I30" s="219">
        <v>350000</v>
      </c>
      <c r="J30" s="219">
        <v>0</v>
      </c>
      <c r="K30" s="219">
        <v>0</v>
      </c>
      <c r="L30" s="219">
        <v>350000</v>
      </c>
      <c r="M30" s="219">
        <v>0</v>
      </c>
      <c r="N30" s="219">
        <v>0</v>
      </c>
      <c r="O30" s="219">
        <v>350000</v>
      </c>
      <c r="P30" s="219">
        <f t="shared" si="0"/>
        <v>1750000</v>
      </c>
    </row>
    <row r="31" spans="2:16" x14ac:dyDescent="0.25">
      <c r="B31" s="230">
        <v>26</v>
      </c>
      <c r="C31" s="254" t="s">
        <v>267</v>
      </c>
      <c r="D31" s="219">
        <v>0</v>
      </c>
      <c r="E31" s="219">
        <v>0</v>
      </c>
      <c r="F31" s="219">
        <v>350000</v>
      </c>
      <c r="G31" s="219">
        <v>0</v>
      </c>
      <c r="H31" s="219">
        <v>350000</v>
      </c>
      <c r="I31" s="219">
        <v>350000</v>
      </c>
      <c r="J31" s="219">
        <v>0</v>
      </c>
      <c r="K31" s="219">
        <v>0</v>
      </c>
      <c r="L31" s="219">
        <v>350000</v>
      </c>
      <c r="M31" s="219">
        <v>0</v>
      </c>
      <c r="N31" s="219">
        <v>0</v>
      </c>
      <c r="O31" s="219">
        <v>350000</v>
      </c>
      <c r="P31" s="219">
        <f t="shared" si="0"/>
        <v>1750000</v>
      </c>
    </row>
    <row r="32" spans="2:16" x14ac:dyDescent="0.25">
      <c r="B32" s="230">
        <v>27</v>
      </c>
      <c r="C32" s="254" t="s">
        <v>268</v>
      </c>
      <c r="D32" s="219">
        <v>0</v>
      </c>
      <c r="E32" s="219">
        <v>0</v>
      </c>
      <c r="F32" s="219">
        <v>350000</v>
      </c>
      <c r="G32" s="219">
        <v>0</v>
      </c>
      <c r="H32" s="219">
        <v>350000</v>
      </c>
      <c r="I32" s="219">
        <v>350000</v>
      </c>
      <c r="J32" s="219">
        <v>0</v>
      </c>
      <c r="K32" s="219">
        <v>0</v>
      </c>
      <c r="L32" s="219">
        <v>350000</v>
      </c>
      <c r="M32" s="219">
        <v>0</v>
      </c>
      <c r="N32" s="219">
        <v>0</v>
      </c>
      <c r="O32" s="219">
        <v>350000</v>
      </c>
      <c r="P32" s="219">
        <f t="shared" si="0"/>
        <v>1750000</v>
      </c>
    </row>
    <row r="33" spans="2:16" x14ac:dyDescent="0.25">
      <c r="B33" s="230">
        <v>28</v>
      </c>
      <c r="C33" s="254" t="s">
        <v>269</v>
      </c>
      <c r="D33" s="219">
        <v>0</v>
      </c>
      <c r="E33" s="219">
        <v>0</v>
      </c>
      <c r="F33" s="219">
        <v>350000</v>
      </c>
      <c r="G33" s="219">
        <v>0</v>
      </c>
      <c r="H33" s="219">
        <v>350000</v>
      </c>
      <c r="I33" s="219">
        <v>350000</v>
      </c>
      <c r="J33" s="219">
        <v>0</v>
      </c>
      <c r="K33" s="219">
        <v>0</v>
      </c>
      <c r="L33" s="219">
        <v>350000</v>
      </c>
      <c r="M33" s="219">
        <v>0</v>
      </c>
      <c r="N33" s="219">
        <v>0</v>
      </c>
      <c r="O33" s="219">
        <v>350000</v>
      </c>
      <c r="P33" s="219">
        <f t="shared" si="0"/>
        <v>1750000</v>
      </c>
    </row>
    <row r="34" spans="2:16" x14ac:dyDescent="0.25">
      <c r="B34" s="230">
        <v>29</v>
      </c>
      <c r="C34" s="254" t="s">
        <v>270</v>
      </c>
      <c r="D34" s="219">
        <v>0</v>
      </c>
      <c r="E34" s="219">
        <v>0</v>
      </c>
      <c r="F34" s="219">
        <v>350000</v>
      </c>
      <c r="G34" s="219">
        <v>0</v>
      </c>
      <c r="H34" s="219">
        <v>350000</v>
      </c>
      <c r="I34" s="219">
        <v>350000</v>
      </c>
      <c r="J34" s="219">
        <v>0</v>
      </c>
      <c r="K34" s="219">
        <v>0</v>
      </c>
      <c r="L34" s="219">
        <v>350000</v>
      </c>
      <c r="M34" s="219">
        <v>0</v>
      </c>
      <c r="N34" s="219">
        <v>0</v>
      </c>
      <c r="O34" s="219">
        <v>350000</v>
      </c>
      <c r="P34" s="219">
        <f t="shared" si="0"/>
        <v>1750000</v>
      </c>
    </row>
    <row r="35" spans="2:16" x14ac:dyDescent="0.25">
      <c r="B35" s="230">
        <v>30</v>
      </c>
      <c r="C35" s="254" t="s">
        <v>271</v>
      </c>
      <c r="D35" s="219">
        <v>0</v>
      </c>
      <c r="E35" s="219">
        <v>0</v>
      </c>
      <c r="F35" s="219">
        <v>350000</v>
      </c>
      <c r="G35" s="219">
        <v>0</v>
      </c>
      <c r="H35" s="219">
        <v>350000</v>
      </c>
      <c r="I35" s="219">
        <v>350000</v>
      </c>
      <c r="J35" s="219">
        <v>0</v>
      </c>
      <c r="K35" s="219">
        <v>0</v>
      </c>
      <c r="L35" s="219">
        <v>350000</v>
      </c>
      <c r="M35" s="219">
        <v>0</v>
      </c>
      <c r="N35" s="219">
        <v>0</v>
      </c>
      <c r="O35" s="219">
        <v>350000</v>
      </c>
      <c r="P35" s="219">
        <f t="shared" si="0"/>
        <v>1750000</v>
      </c>
    </row>
    <row r="36" spans="2:16" x14ac:dyDescent="0.25">
      <c r="B36" s="230">
        <v>31</v>
      </c>
      <c r="C36" s="254" t="s">
        <v>272</v>
      </c>
      <c r="D36" s="219">
        <v>0</v>
      </c>
      <c r="E36" s="219">
        <v>0</v>
      </c>
      <c r="F36" s="219">
        <v>350000</v>
      </c>
      <c r="G36" s="219">
        <v>0</v>
      </c>
      <c r="H36" s="219">
        <v>350000</v>
      </c>
      <c r="I36" s="219">
        <v>350000</v>
      </c>
      <c r="J36" s="219">
        <v>0</v>
      </c>
      <c r="K36" s="219">
        <v>0</v>
      </c>
      <c r="L36" s="219">
        <v>350000</v>
      </c>
      <c r="M36" s="219">
        <v>0</v>
      </c>
      <c r="N36" s="219">
        <v>0</v>
      </c>
      <c r="O36" s="219">
        <v>350000</v>
      </c>
      <c r="P36" s="219">
        <f t="shared" si="0"/>
        <v>1750000</v>
      </c>
    </row>
    <row r="37" spans="2:16" x14ac:dyDescent="0.25">
      <c r="B37" s="230">
        <v>32</v>
      </c>
      <c r="C37" s="254" t="s">
        <v>273</v>
      </c>
      <c r="D37" s="219">
        <v>0</v>
      </c>
      <c r="E37" s="219">
        <v>0</v>
      </c>
      <c r="F37" s="219">
        <v>350000</v>
      </c>
      <c r="G37" s="219">
        <v>0</v>
      </c>
      <c r="H37" s="219">
        <v>350000</v>
      </c>
      <c r="I37" s="219">
        <v>350000</v>
      </c>
      <c r="J37" s="219">
        <v>0</v>
      </c>
      <c r="K37" s="219">
        <v>0</v>
      </c>
      <c r="L37" s="219">
        <v>350000</v>
      </c>
      <c r="M37" s="219">
        <v>0</v>
      </c>
      <c r="N37" s="219">
        <v>0</v>
      </c>
      <c r="O37" s="219">
        <v>350000</v>
      </c>
      <c r="P37" s="219">
        <f t="shared" si="0"/>
        <v>1750000</v>
      </c>
    </row>
    <row r="38" spans="2:16" x14ac:dyDescent="0.25">
      <c r="B38" s="230">
        <v>33</v>
      </c>
      <c r="C38" s="254" t="s">
        <v>274</v>
      </c>
      <c r="D38" s="219">
        <v>0</v>
      </c>
      <c r="E38" s="219">
        <v>0</v>
      </c>
      <c r="F38" s="219">
        <v>350000</v>
      </c>
      <c r="G38" s="219">
        <v>0</v>
      </c>
      <c r="H38" s="219">
        <v>350000</v>
      </c>
      <c r="I38" s="219">
        <v>350000</v>
      </c>
      <c r="J38" s="219">
        <v>0</v>
      </c>
      <c r="K38" s="219">
        <v>0</v>
      </c>
      <c r="L38" s="219">
        <v>350000</v>
      </c>
      <c r="M38" s="219">
        <v>0</v>
      </c>
      <c r="N38" s="219">
        <v>0</v>
      </c>
      <c r="O38" s="219">
        <v>350000</v>
      </c>
      <c r="P38" s="219">
        <f t="shared" si="0"/>
        <v>1750000</v>
      </c>
    </row>
    <row r="39" spans="2:16" x14ac:dyDescent="0.25">
      <c r="B39" s="230">
        <v>34</v>
      </c>
      <c r="C39" s="254" t="s">
        <v>275</v>
      </c>
      <c r="D39" s="219">
        <v>0</v>
      </c>
      <c r="E39" s="219">
        <v>0</v>
      </c>
      <c r="F39" s="219">
        <v>350000</v>
      </c>
      <c r="G39" s="219">
        <v>0</v>
      </c>
      <c r="H39" s="219">
        <v>350000</v>
      </c>
      <c r="I39" s="219">
        <v>350000</v>
      </c>
      <c r="J39" s="219">
        <v>0</v>
      </c>
      <c r="K39" s="219">
        <v>0</v>
      </c>
      <c r="L39" s="219">
        <v>350000</v>
      </c>
      <c r="M39" s="219">
        <v>0</v>
      </c>
      <c r="N39" s="219">
        <v>0</v>
      </c>
      <c r="O39" s="219">
        <v>350000</v>
      </c>
      <c r="P39" s="219">
        <f t="shared" si="0"/>
        <v>1750000</v>
      </c>
    </row>
    <row r="40" spans="2:16" x14ac:dyDescent="0.25">
      <c r="B40" s="230">
        <v>35</v>
      </c>
      <c r="C40" s="254" t="s">
        <v>296</v>
      </c>
      <c r="D40" s="219">
        <v>0</v>
      </c>
      <c r="E40" s="219">
        <v>0</v>
      </c>
      <c r="F40" s="219">
        <v>350000</v>
      </c>
      <c r="G40" s="219">
        <v>0</v>
      </c>
      <c r="H40" s="219">
        <v>350000</v>
      </c>
      <c r="I40" s="219">
        <v>350000</v>
      </c>
      <c r="J40" s="219">
        <v>0</v>
      </c>
      <c r="K40" s="219">
        <v>0</v>
      </c>
      <c r="L40" s="219">
        <v>350000</v>
      </c>
      <c r="M40" s="219">
        <v>0</v>
      </c>
      <c r="N40" s="219">
        <v>0</v>
      </c>
      <c r="O40" s="219">
        <v>350000</v>
      </c>
      <c r="P40" s="219">
        <f t="shared" si="0"/>
        <v>1750000</v>
      </c>
    </row>
    <row r="41" spans="2:16" x14ac:dyDescent="0.25">
      <c r="B41" s="230">
        <v>36</v>
      </c>
      <c r="C41" s="254" t="s">
        <v>277</v>
      </c>
      <c r="D41" s="219">
        <v>0</v>
      </c>
      <c r="E41" s="219">
        <v>0</v>
      </c>
      <c r="F41" s="219">
        <v>350000</v>
      </c>
      <c r="G41" s="219">
        <v>0</v>
      </c>
      <c r="H41" s="219">
        <v>350000</v>
      </c>
      <c r="I41" s="219">
        <v>350000</v>
      </c>
      <c r="J41" s="219">
        <v>0</v>
      </c>
      <c r="K41" s="219">
        <v>0</v>
      </c>
      <c r="L41" s="219">
        <v>350000</v>
      </c>
      <c r="M41" s="219">
        <v>0</v>
      </c>
      <c r="N41" s="219">
        <v>0</v>
      </c>
      <c r="O41" s="219">
        <v>350000</v>
      </c>
      <c r="P41" s="219">
        <f t="shared" si="0"/>
        <v>1750000</v>
      </c>
    </row>
    <row r="42" spans="2:16" x14ac:dyDescent="0.25">
      <c r="B42" s="230">
        <v>37</v>
      </c>
      <c r="C42" s="254" t="s">
        <v>278</v>
      </c>
      <c r="D42" s="219">
        <v>0</v>
      </c>
      <c r="E42" s="219">
        <v>0</v>
      </c>
      <c r="F42" s="219">
        <v>350000</v>
      </c>
      <c r="G42" s="219">
        <v>0</v>
      </c>
      <c r="H42" s="219">
        <v>350000</v>
      </c>
      <c r="I42" s="219">
        <v>350000</v>
      </c>
      <c r="J42" s="219">
        <v>0</v>
      </c>
      <c r="K42" s="219">
        <v>0</v>
      </c>
      <c r="L42" s="219">
        <v>350000</v>
      </c>
      <c r="M42" s="219">
        <v>0</v>
      </c>
      <c r="N42" s="219">
        <v>0</v>
      </c>
      <c r="O42" s="219">
        <v>350000</v>
      </c>
      <c r="P42" s="219">
        <f t="shared" si="0"/>
        <v>1750000</v>
      </c>
    </row>
    <row r="43" spans="2:16" x14ac:dyDescent="0.25">
      <c r="B43" s="230">
        <v>38</v>
      </c>
      <c r="C43" s="258" t="s">
        <v>279</v>
      </c>
      <c r="D43" s="219">
        <v>0</v>
      </c>
      <c r="E43" s="219">
        <v>0</v>
      </c>
      <c r="F43" s="219">
        <v>350000</v>
      </c>
      <c r="G43" s="219">
        <v>0</v>
      </c>
      <c r="H43" s="219">
        <v>350000</v>
      </c>
      <c r="I43" s="219">
        <v>350000</v>
      </c>
      <c r="J43" s="219">
        <v>0</v>
      </c>
      <c r="K43" s="219">
        <v>0</v>
      </c>
      <c r="L43" s="219">
        <v>350000</v>
      </c>
      <c r="M43" s="219">
        <v>0</v>
      </c>
      <c r="N43" s="219">
        <v>0</v>
      </c>
      <c r="O43" s="219">
        <v>350000</v>
      </c>
      <c r="P43" s="219">
        <f t="shared" si="0"/>
        <v>1750000</v>
      </c>
    </row>
    <row r="44" spans="2:16" x14ac:dyDescent="0.25">
      <c r="B44" s="230"/>
      <c r="C44" s="279" t="s">
        <v>297</v>
      </c>
      <c r="D44" s="224">
        <f t="shared" ref="D44:P44" si="1">SUM(D6:D43)</f>
        <v>4200000</v>
      </c>
      <c r="E44" s="224">
        <f t="shared" si="1"/>
        <v>4200000</v>
      </c>
      <c r="F44" s="224">
        <f t="shared" si="1"/>
        <v>4900000</v>
      </c>
      <c r="G44" s="224">
        <f t="shared" si="1"/>
        <v>4200000</v>
      </c>
      <c r="H44" s="224">
        <f t="shared" si="1"/>
        <v>4900000</v>
      </c>
      <c r="I44" s="224">
        <f t="shared" si="1"/>
        <v>4900000</v>
      </c>
      <c r="J44" s="224">
        <f t="shared" si="1"/>
        <v>4200000</v>
      </c>
      <c r="K44" s="224">
        <f t="shared" si="1"/>
        <v>4200000</v>
      </c>
      <c r="L44" s="224">
        <f t="shared" si="1"/>
        <v>4900000</v>
      </c>
      <c r="M44" s="224">
        <f t="shared" si="1"/>
        <v>4200000</v>
      </c>
      <c r="N44" s="224">
        <f t="shared" si="1"/>
        <v>4200000</v>
      </c>
      <c r="O44" s="224">
        <f t="shared" si="1"/>
        <v>4900000</v>
      </c>
      <c r="P44" s="224">
        <f t="shared" si="1"/>
        <v>53900000</v>
      </c>
    </row>
    <row r="45" spans="2:16" x14ac:dyDescent="0.25">
      <c r="B45" s="743"/>
      <c r="C45" s="259"/>
      <c r="D45" s="225"/>
      <c r="E45" s="225"/>
      <c r="F45" s="225"/>
      <c r="G45" s="225"/>
      <c r="H45" s="225"/>
      <c r="I45" s="225"/>
      <c r="J45" s="225"/>
      <c r="K45" s="225"/>
      <c r="L45" s="225"/>
      <c r="M45" s="225"/>
      <c r="N45" s="225"/>
      <c r="O45" s="735" t="s">
        <v>284</v>
      </c>
      <c r="P45" s="224">
        <f>P44</f>
        <v>53900000</v>
      </c>
    </row>
    <row r="46" spans="2:16" x14ac:dyDescent="0.25">
      <c r="B46" s="743"/>
      <c r="C46" s="259"/>
      <c r="D46" s="225"/>
      <c r="E46" s="225"/>
      <c r="F46" s="225"/>
      <c r="G46" s="225"/>
      <c r="H46" s="225"/>
      <c r="I46" s="225"/>
      <c r="J46" s="225"/>
      <c r="K46" s="225"/>
      <c r="L46" s="225"/>
      <c r="M46" s="225"/>
      <c r="N46" s="225"/>
      <c r="O46" s="735" t="s">
        <v>1508</v>
      </c>
      <c r="P46" s="224">
        <f>P45*0.16</f>
        <v>8624000</v>
      </c>
    </row>
    <row r="47" spans="2:16" x14ac:dyDescent="0.25">
      <c r="B47" s="743"/>
      <c r="C47" s="259"/>
      <c r="D47" s="225"/>
      <c r="E47" s="225"/>
      <c r="F47" s="225"/>
      <c r="G47" s="225"/>
      <c r="H47" s="225"/>
      <c r="I47" s="225"/>
      <c r="J47" s="225"/>
      <c r="K47" s="225"/>
      <c r="L47" s="225"/>
      <c r="M47" s="225"/>
      <c r="N47" s="225"/>
      <c r="O47" s="735" t="s">
        <v>298</v>
      </c>
      <c r="P47" s="285">
        <f>+P46+P45</f>
        <v>62524000</v>
      </c>
    </row>
    <row r="48" spans="2:16" x14ac:dyDescent="0.25">
      <c r="B48" s="743"/>
      <c r="C48" s="259"/>
      <c r="D48" s="225"/>
      <c r="E48" s="225"/>
      <c r="F48" s="225"/>
      <c r="G48" s="225"/>
      <c r="H48" s="225"/>
      <c r="I48" s="225"/>
      <c r="J48" s="225"/>
      <c r="K48" s="225"/>
      <c r="L48" s="225"/>
      <c r="M48" s="225"/>
      <c r="N48" s="225"/>
      <c r="O48" s="752" t="s">
        <v>666</v>
      </c>
      <c r="P48" s="224">
        <f>P47*0.3</f>
        <v>18757200</v>
      </c>
    </row>
    <row r="49" spans="2:16" x14ac:dyDescent="0.25">
      <c r="B49" s="680"/>
      <c r="C49" s="11"/>
      <c r="D49" s="11"/>
      <c r="E49" s="11"/>
      <c r="F49" s="11"/>
      <c r="G49" s="11"/>
      <c r="H49" s="11"/>
      <c r="I49" s="11"/>
      <c r="J49" s="11"/>
      <c r="K49" s="11"/>
      <c r="L49" s="11"/>
      <c r="M49" s="11"/>
      <c r="N49" s="11"/>
      <c r="O49" s="11"/>
      <c r="P49" s="11"/>
    </row>
  </sheetData>
  <mergeCells count="16">
    <mergeCell ref="P3:P5"/>
    <mergeCell ref="B2:P2"/>
    <mergeCell ref="B3:B5"/>
    <mergeCell ref="C3:C5"/>
    <mergeCell ref="D3:D5"/>
    <mergeCell ref="E3:E5"/>
    <mergeCell ref="F3:F5"/>
    <mergeCell ref="G3:G5"/>
    <mergeCell ref="H3:H5"/>
    <mergeCell ref="I3:I5"/>
    <mergeCell ref="J3:J5"/>
    <mergeCell ref="K3:K5"/>
    <mergeCell ref="L3:L5"/>
    <mergeCell ref="M3:M5"/>
    <mergeCell ref="N3:N5"/>
    <mergeCell ref="O3:O5"/>
  </mergeCells>
  <pageMargins left="1.53" right="0.46" top="0.42" bottom="0.75" header="0.3" footer="0.3"/>
  <pageSetup paperSize="5" scale="75" orientation="landscape" r:id="rId1"/>
  <headerFooter>
    <oddFooter xml:space="preserve">&amp;C
</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P32"/>
  <sheetViews>
    <sheetView view="pageLayout" workbookViewId="0">
      <selection activeCell="B3" sqref="B3:P32"/>
    </sheetView>
  </sheetViews>
  <sheetFormatPr baseColWidth="10" defaultRowHeight="12" x14ac:dyDescent="0.2"/>
  <cols>
    <col min="1" max="1" width="10.85546875" style="158" customWidth="1"/>
    <col min="2" max="2" width="5.5703125" style="158" customWidth="1"/>
    <col min="3" max="3" width="29" style="158" customWidth="1"/>
    <col min="4" max="15" width="11.5703125" style="158" bestFit="1" customWidth="1"/>
    <col min="16" max="16" width="12.5703125" style="158" bestFit="1" customWidth="1"/>
    <col min="17" max="16384" width="11.42578125" style="158"/>
  </cols>
  <sheetData>
    <row r="2" spans="2:16" x14ac:dyDescent="0.2">
      <c r="B2" s="690"/>
      <c r="C2" s="691"/>
      <c r="D2" s="691"/>
      <c r="E2" s="691"/>
      <c r="F2" s="691"/>
      <c r="G2" s="691"/>
      <c r="H2" s="691"/>
      <c r="I2" s="691"/>
      <c r="J2" s="691"/>
      <c r="K2" s="691"/>
      <c r="L2" s="691"/>
      <c r="M2" s="691"/>
      <c r="N2" s="691"/>
      <c r="O2" s="691"/>
      <c r="P2" s="691"/>
    </row>
    <row r="3" spans="2:16" x14ac:dyDescent="0.2">
      <c r="B3" s="944" t="s">
        <v>1421</v>
      </c>
      <c r="C3" s="944"/>
      <c r="D3" s="944"/>
      <c r="E3" s="944"/>
      <c r="F3" s="944"/>
      <c r="G3" s="944"/>
      <c r="H3" s="944"/>
      <c r="I3" s="944"/>
      <c r="J3" s="944"/>
      <c r="K3" s="944"/>
      <c r="L3" s="944"/>
      <c r="M3" s="944"/>
      <c r="N3" s="944"/>
      <c r="O3" s="944"/>
      <c r="P3" s="944"/>
    </row>
    <row r="4" spans="2:16" ht="18" customHeight="1" x14ac:dyDescent="0.2">
      <c r="B4" s="1044" t="s">
        <v>346</v>
      </c>
      <c r="C4" s="967" t="s">
        <v>451</v>
      </c>
      <c r="D4" s="942" t="s">
        <v>1894</v>
      </c>
      <c r="E4" s="942" t="s">
        <v>1895</v>
      </c>
      <c r="F4" s="942" t="s">
        <v>1896</v>
      </c>
      <c r="G4" s="942" t="s">
        <v>1897</v>
      </c>
      <c r="H4" s="942" t="s">
        <v>1898</v>
      </c>
      <c r="I4" s="942" t="s">
        <v>1899</v>
      </c>
      <c r="J4" s="1044" t="s">
        <v>644</v>
      </c>
      <c r="K4" s="942" t="s">
        <v>1900</v>
      </c>
      <c r="L4" s="1044" t="s">
        <v>641</v>
      </c>
      <c r="M4" s="967" t="s">
        <v>642</v>
      </c>
      <c r="N4" s="942" t="s">
        <v>1901</v>
      </c>
      <c r="O4" s="942" t="s">
        <v>643</v>
      </c>
      <c r="P4" s="1044" t="s">
        <v>180</v>
      </c>
    </row>
    <row r="5" spans="2:16" x14ac:dyDescent="0.2">
      <c r="B5" s="1045"/>
      <c r="C5" s="967"/>
      <c r="D5" s="943"/>
      <c r="E5" s="943"/>
      <c r="F5" s="943"/>
      <c r="G5" s="943"/>
      <c r="H5" s="943"/>
      <c r="I5" s="943"/>
      <c r="J5" s="1045"/>
      <c r="K5" s="943"/>
      <c r="L5" s="1045"/>
      <c r="M5" s="967"/>
      <c r="N5" s="943"/>
      <c r="O5" s="943"/>
      <c r="P5" s="1045"/>
    </row>
    <row r="6" spans="2:16" ht="19.7" customHeight="1" x14ac:dyDescent="0.2">
      <c r="B6" s="230">
        <v>1</v>
      </c>
      <c r="C6" s="692" t="s">
        <v>645</v>
      </c>
      <c r="D6" s="219">
        <v>125649.3</v>
      </c>
      <c r="E6" s="219">
        <v>158584.65</v>
      </c>
      <c r="F6" s="219">
        <v>319459.35000000003</v>
      </c>
      <c r="G6" s="219">
        <v>411144.3</v>
      </c>
      <c r="H6" s="219">
        <v>2221003.0500000003</v>
      </c>
      <c r="I6" s="219">
        <v>1198191.75</v>
      </c>
      <c r="J6" s="219">
        <v>1908884.25</v>
      </c>
      <c r="K6" s="219">
        <v>1320280.5</v>
      </c>
      <c r="L6" s="219">
        <v>704818.8</v>
      </c>
      <c r="M6" s="219">
        <v>881023.5</v>
      </c>
      <c r="N6" s="219">
        <v>2202558.75</v>
      </c>
      <c r="O6" s="219">
        <v>2055721.5</v>
      </c>
      <c r="P6" s="219">
        <f>SUM(D6:O6)</f>
        <v>13507319.699999999</v>
      </c>
    </row>
    <row r="7" spans="2:16" ht="19.7" customHeight="1" x14ac:dyDescent="0.2">
      <c r="B7" s="230">
        <v>2</v>
      </c>
      <c r="C7" s="692" t="s">
        <v>461</v>
      </c>
      <c r="D7" s="219">
        <v>125649.3</v>
      </c>
      <c r="E7" s="219">
        <v>158584.65</v>
      </c>
      <c r="F7" s="219">
        <v>319459.35000000003</v>
      </c>
      <c r="G7" s="219">
        <v>411144.3</v>
      </c>
      <c r="H7" s="219">
        <v>2221003.0500000003</v>
      </c>
      <c r="I7" s="219">
        <v>1198191.75</v>
      </c>
      <c r="J7" s="219">
        <v>1908884.25</v>
      </c>
      <c r="K7" s="219">
        <v>1320280.5</v>
      </c>
      <c r="L7" s="219">
        <v>704818.8</v>
      </c>
      <c r="M7" s="219">
        <v>881023.5</v>
      </c>
      <c r="N7" s="219">
        <v>2202558.75</v>
      </c>
      <c r="O7" s="219">
        <v>2055721.5</v>
      </c>
      <c r="P7" s="219">
        <f t="shared" ref="P7:P29" si="0">SUM(D7:O7)</f>
        <v>13507319.699999999</v>
      </c>
    </row>
    <row r="8" spans="2:16" ht="19.7" customHeight="1" x14ac:dyDescent="0.2">
      <c r="B8" s="230">
        <v>3</v>
      </c>
      <c r="C8" s="692" t="s">
        <v>646</v>
      </c>
      <c r="D8" s="219">
        <v>125649.3</v>
      </c>
      <c r="E8" s="219">
        <v>158584.65</v>
      </c>
      <c r="F8" s="219">
        <v>319459.35000000003</v>
      </c>
      <c r="G8" s="219">
        <v>411144.3</v>
      </c>
      <c r="H8" s="219">
        <v>2221003.0500000003</v>
      </c>
      <c r="I8" s="219">
        <v>1198191.75</v>
      </c>
      <c r="J8" s="219">
        <v>1908884.25</v>
      </c>
      <c r="K8" s="219">
        <v>1320280.5</v>
      </c>
      <c r="L8" s="219">
        <v>704818.8</v>
      </c>
      <c r="M8" s="219">
        <v>881023.5</v>
      </c>
      <c r="N8" s="219">
        <v>2202558.75</v>
      </c>
      <c r="O8" s="219">
        <v>2055721.5</v>
      </c>
      <c r="P8" s="219">
        <f t="shared" si="0"/>
        <v>13507319.699999999</v>
      </c>
    </row>
    <row r="9" spans="2:16" ht="19.7" customHeight="1" x14ac:dyDescent="0.2">
      <c r="B9" s="230">
        <v>4</v>
      </c>
      <c r="C9" s="692" t="s">
        <v>647</v>
      </c>
      <c r="D9" s="219">
        <v>125649.3</v>
      </c>
      <c r="E9" s="219">
        <v>158584.65</v>
      </c>
      <c r="F9" s="219">
        <v>319459.35000000003</v>
      </c>
      <c r="G9" s="219">
        <v>411144.3</v>
      </c>
      <c r="H9" s="219">
        <v>2221003.0500000003</v>
      </c>
      <c r="I9" s="219">
        <v>1198191.75</v>
      </c>
      <c r="J9" s="219">
        <v>1908884.25</v>
      </c>
      <c r="K9" s="219">
        <v>1320280.5</v>
      </c>
      <c r="L9" s="219">
        <v>704818.8</v>
      </c>
      <c r="M9" s="219">
        <v>881023.5</v>
      </c>
      <c r="N9" s="219">
        <v>2202558.75</v>
      </c>
      <c r="O9" s="219">
        <v>2055721.5</v>
      </c>
      <c r="P9" s="219">
        <f t="shared" si="0"/>
        <v>13507319.699999999</v>
      </c>
    </row>
    <row r="10" spans="2:16" ht="19.7" customHeight="1" x14ac:dyDescent="0.2">
      <c r="B10" s="230">
        <v>5</v>
      </c>
      <c r="C10" s="692" t="s">
        <v>648</v>
      </c>
      <c r="D10" s="219">
        <v>125649.3</v>
      </c>
      <c r="E10" s="219">
        <v>158584.65</v>
      </c>
      <c r="F10" s="219">
        <v>319459.35000000003</v>
      </c>
      <c r="G10" s="219">
        <v>411144.3</v>
      </c>
      <c r="H10" s="219">
        <v>2221003.0500000003</v>
      </c>
      <c r="I10" s="219">
        <v>1198191.75</v>
      </c>
      <c r="J10" s="219">
        <v>1908884.25</v>
      </c>
      <c r="K10" s="219">
        <v>1320280.5</v>
      </c>
      <c r="L10" s="219">
        <v>704818.8</v>
      </c>
      <c r="M10" s="219">
        <v>881023.5</v>
      </c>
      <c r="N10" s="219">
        <v>2202558.75</v>
      </c>
      <c r="O10" s="219">
        <v>2055721.5</v>
      </c>
      <c r="P10" s="219">
        <f t="shared" si="0"/>
        <v>13507319.699999999</v>
      </c>
    </row>
    <row r="11" spans="2:16" ht="19.7" customHeight="1" x14ac:dyDescent="0.2">
      <c r="B11" s="230">
        <v>6</v>
      </c>
      <c r="C11" s="692" t="s">
        <v>649</v>
      </c>
      <c r="D11" s="219">
        <v>125649.3</v>
      </c>
      <c r="E11" s="219">
        <v>158584.65</v>
      </c>
      <c r="F11" s="219">
        <v>319459.35000000003</v>
      </c>
      <c r="G11" s="219">
        <v>411144.3</v>
      </c>
      <c r="H11" s="219">
        <v>2221003.0500000003</v>
      </c>
      <c r="I11" s="219">
        <v>1198191.75</v>
      </c>
      <c r="J11" s="219">
        <v>1908884.25</v>
      </c>
      <c r="K11" s="219">
        <v>1320280.5</v>
      </c>
      <c r="L11" s="219">
        <v>704818.8</v>
      </c>
      <c r="M11" s="219">
        <v>881023.5</v>
      </c>
      <c r="N11" s="219">
        <v>2202558.75</v>
      </c>
      <c r="O11" s="219">
        <v>2055721.5</v>
      </c>
      <c r="P11" s="219">
        <f t="shared" si="0"/>
        <v>13507319.699999999</v>
      </c>
    </row>
    <row r="12" spans="2:16" ht="19.7" customHeight="1" x14ac:dyDescent="0.2">
      <c r="B12" s="230">
        <v>7</v>
      </c>
      <c r="C12" s="692" t="s">
        <v>650</v>
      </c>
      <c r="D12" s="219">
        <v>125649.3</v>
      </c>
      <c r="E12" s="219">
        <v>158584.65</v>
      </c>
      <c r="F12" s="219">
        <v>319459.35000000003</v>
      </c>
      <c r="G12" s="219">
        <v>411144.3</v>
      </c>
      <c r="H12" s="219">
        <v>2221003.0500000003</v>
      </c>
      <c r="I12" s="219">
        <v>1198191.75</v>
      </c>
      <c r="J12" s="219">
        <v>1908884.25</v>
      </c>
      <c r="K12" s="219">
        <v>1320280.5</v>
      </c>
      <c r="L12" s="219">
        <v>704818.8</v>
      </c>
      <c r="M12" s="219">
        <v>881023.5</v>
      </c>
      <c r="N12" s="219">
        <v>2202558.75</v>
      </c>
      <c r="O12" s="219">
        <v>2055721.5</v>
      </c>
      <c r="P12" s="219">
        <f t="shared" si="0"/>
        <v>13507319.699999999</v>
      </c>
    </row>
    <row r="13" spans="2:16" ht="19.7" customHeight="1" x14ac:dyDescent="0.2">
      <c r="B13" s="230">
        <v>8</v>
      </c>
      <c r="C13" s="692" t="s">
        <v>651</v>
      </c>
      <c r="D13" s="219">
        <v>125649.3</v>
      </c>
      <c r="E13" s="219">
        <v>158584.65</v>
      </c>
      <c r="F13" s="219">
        <v>319459.35000000003</v>
      </c>
      <c r="G13" s="219">
        <v>411144.3</v>
      </c>
      <c r="H13" s="219">
        <v>2221003.0500000003</v>
      </c>
      <c r="I13" s="219">
        <v>1198191.75</v>
      </c>
      <c r="J13" s="219">
        <v>1908884.25</v>
      </c>
      <c r="K13" s="219">
        <v>1320280.5</v>
      </c>
      <c r="L13" s="219">
        <v>704818.8</v>
      </c>
      <c r="M13" s="219">
        <v>881023.5</v>
      </c>
      <c r="N13" s="219">
        <v>2202558.75</v>
      </c>
      <c r="O13" s="219">
        <v>2055721.5</v>
      </c>
      <c r="P13" s="219">
        <f t="shared" si="0"/>
        <v>13507319.699999999</v>
      </c>
    </row>
    <row r="14" spans="2:16" ht="19.7" customHeight="1" x14ac:dyDescent="0.2">
      <c r="B14" s="230">
        <v>9</v>
      </c>
      <c r="C14" s="692" t="s">
        <v>652</v>
      </c>
      <c r="D14" s="219">
        <v>125649.3</v>
      </c>
      <c r="E14" s="219">
        <v>158584.65</v>
      </c>
      <c r="F14" s="219">
        <v>319459.35000000003</v>
      </c>
      <c r="G14" s="219">
        <v>411144.3</v>
      </c>
      <c r="H14" s="219">
        <v>2221003.0500000003</v>
      </c>
      <c r="I14" s="219">
        <v>1198191.75</v>
      </c>
      <c r="J14" s="219">
        <v>1908884.25</v>
      </c>
      <c r="K14" s="219">
        <v>1320280.5</v>
      </c>
      <c r="L14" s="219">
        <v>704818.8</v>
      </c>
      <c r="M14" s="219">
        <v>881023.5</v>
      </c>
      <c r="N14" s="219">
        <v>2202558.75</v>
      </c>
      <c r="O14" s="219">
        <v>2055721.5</v>
      </c>
      <c r="P14" s="219">
        <f t="shared" si="0"/>
        <v>13507319.699999999</v>
      </c>
    </row>
    <row r="15" spans="2:16" ht="19.7" customHeight="1" x14ac:dyDescent="0.2">
      <c r="B15" s="230">
        <v>10</v>
      </c>
      <c r="C15" s="692" t="s">
        <v>653</v>
      </c>
      <c r="D15" s="219">
        <v>125649.3</v>
      </c>
      <c r="E15" s="219">
        <v>158584.65</v>
      </c>
      <c r="F15" s="219">
        <v>319459.35000000003</v>
      </c>
      <c r="G15" s="219">
        <v>411144.3</v>
      </c>
      <c r="H15" s="219">
        <v>2221003.0500000003</v>
      </c>
      <c r="I15" s="219">
        <v>1198191.75</v>
      </c>
      <c r="J15" s="219">
        <v>1908884.25</v>
      </c>
      <c r="K15" s="219">
        <v>1320280.5</v>
      </c>
      <c r="L15" s="219">
        <v>704818.8</v>
      </c>
      <c r="M15" s="219">
        <v>881023.5</v>
      </c>
      <c r="N15" s="219">
        <v>2202558.75</v>
      </c>
      <c r="O15" s="219">
        <v>2055721.5</v>
      </c>
      <c r="P15" s="219">
        <f t="shared" si="0"/>
        <v>13507319.699999999</v>
      </c>
    </row>
    <row r="16" spans="2:16" ht="19.7" customHeight="1" x14ac:dyDescent="0.2">
      <c r="B16" s="230">
        <v>11</v>
      </c>
      <c r="C16" s="692" t="s">
        <v>654</v>
      </c>
      <c r="D16" s="219">
        <v>125649.3</v>
      </c>
      <c r="E16" s="219">
        <v>158584.65</v>
      </c>
      <c r="F16" s="219">
        <v>319459.35000000003</v>
      </c>
      <c r="G16" s="219">
        <v>411144.3</v>
      </c>
      <c r="H16" s="219">
        <v>2221003.0500000003</v>
      </c>
      <c r="I16" s="219">
        <v>1198191.75</v>
      </c>
      <c r="J16" s="219">
        <v>1908884.25</v>
      </c>
      <c r="K16" s="219">
        <v>1320280.5</v>
      </c>
      <c r="L16" s="219">
        <v>704818.8</v>
      </c>
      <c r="M16" s="219">
        <v>881023.5</v>
      </c>
      <c r="N16" s="219">
        <v>2202558.75</v>
      </c>
      <c r="O16" s="219">
        <v>2055721.5</v>
      </c>
      <c r="P16" s="219">
        <f t="shared" si="0"/>
        <v>13507319.699999999</v>
      </c>
    </row>
    <row r="17" spans="2:16" ht="19.7" customHeight="1" x14ac:dyDescent="0.2">
      <c r="B17" s="230">
        <v>12</v>
      </c>
      <c r="C17" s="692" t="s">
        <v>655</v>
      </c>
      <c r="D17" s="219">
        <v>125649.3</v>
      </c>
      <c r="E17" s="219">
        <v>158584.65</v>
      </c>
      <c r="F17" s="219">
        <v>319459.35000000003</v>
      </c>
      <c r="G17" s="219">
        <v>411144.3</v>
      </c>
      <c r="H17" s="219">
        <v>2221003.0500000003</v>
      </c>
      <c r="I17" s="219">
        <v>1198191.75</v>
      </c>
      <c r="J17" s="219">
        <v>1908884.25</v>
      </c>
      <c r="K17" s="219">
        <v>1320280.5</v>
      </c>
      <c r="L17" s="219">
        <v>704818.8</v>
      </c>
      <c r="M17" s="219">
        <v>881023.5</v>
      </c>
      <c r="N17" s="219">
        <v>2202558.75</v>
      </c>
      <c r="O17" s="219">
        <v>2055721.5</v>
      </c>
      <c r="P17" s="219">
        <f t="shared" si="0"/>
        <v>13507319.699999999</v>
      </c>
    </row>
    <row r="18" spans="2:16" ht="19.7" customHeight="1" x14ac:dyDescent="0.2">
      <c r="B18" s="230">
        <v>13</v>
      </c>
      <c r="C18" s="692" t="s">
        <v>656</v>
      </c>
      <c r="D18" s="219">
        <v>125649.3</v>
      </c>
      <c r="E18" s="219">
        <v>158584.65</v>
      </c>
      <c r="F18" s="219">
        <v>319459.35000000003</v>
      </c>
      <c r="G18" s="219">
        <v>411144.3</v>
      </c>
      <c r="H18" s="219">
        <v>2221003.0500000003</v>
      </c>
      <c r="I18" s="219">
        <v>1198191.75</v>
      </c>
      <c r="J18" s="219">
        <v>1908884.25</v>
      </c>
      <c r="K18" s="219">
        <v>1320280.5</v>
      </c>
      <c r="L18" s="219">
        <v>704818.8</v>
      </c>
      <c r="M18" s="219">
        <v>881023.5</v>
      </c>
      <c r="N18" s="219">
        <v>2202558.75</v>
      </c>
      <c r="O18" s="219">
        <v>2055721.5</v>
      </c>
      <c r="P18" s="219">
        <f t="shared" si="0"/>
        <v>13507319.699999999</v>
      </c>
    </row>
    <row r="19" spans="2:16" ht="19.7" customHeight="1" x14ac:dyDescent="0.2">
      <c r="B19" s="230">
        <v>14</v>
      </c>
      <c r="C19" s="693" t="s">
        <v>657</v>
      </c>
      <c r="D19" s="219">
        <v>125649.3</v>
      </c>
      <c r="E19" s="219">
        <v>158584.65</v>
      </c>
      <c r="F19" s="219">
        <v>319459.35000000003</v>
      </c>
      <c r="G19" s="219">
        <v>411144.3</v>
      </c>
      <c r="H19" s="219">
        <v>2221003.0500000003</v>
      </c>
      <c r="I19" s="219">
        <v>1198191.75</v>
      </c>
      <c r="J19" s="219">
        <v>1908884.25</v>
      </c>
      <c r="K19" s="219">
        <v>1320280.5</v>
      </c>
      <c r="L19" s="219">
        <v>704818.8</v>
      </c>
      <c r="M19" s="219">
        <v>881023.5</v>
      </c>
      <c r="N19" s="219">
        <v>2202558.75</v>
      </c>
      <c r="O19" s="219">
        <v>2055721.5</v>
      </c>
      <c r="P19" s="219">
        <f t="shared" si="0"/>
        <v>13507319.699999999</v>
      </c>
    </row>
    <row r="20" spans="2:16" ht="19.7" customHeight="1" x14ac:dyDescent="0.2">
      <c r="B20" s="230">
        <v>15</v>
      </c>
      <c r="C20" s="692" t="s">
        <v>658</v>
      </c>
      <c r="D20" s="219">
        <v>125649.3</v>
      </c>
      <c r="E20" s="219">
        <v>158584.65</v>
      </c>
      <c r="F20" s="219">
        <v>319459.35000000003</v>
      </c>
      <c r="G20" s="219">
        <v>411144.3</v>
      </c>
      <c r="H20" s="219">
        <v>2221003.0500000003</v>
      </c>
      <c r="I20" s="219">
        <v>1198191.75</v>
      </c>
      <c r="J20" s="219">
        <v>1908884.25</v>
      </c>
      <c r="K20" s="219">
        <v>1320280.5</v>
      </c>
      <c r="L20" s="219">
        <v>704818.8</v>
      </c>
      <c r="M20" s="219">
        <v>881023.5</v>
      </c>
      <c r="N20" s="219">
        <v>2202558.75</v>
      </c>
      <c r="O20" s="219">
        <v>2055721.5</v>
      </c>
      <c r="P20" s="219">
        <f t="shared" si="0"/>
        <v>13507319.699999999</v>
      </c>
    </row>
    <row r="21" spans="2:16" ht="19.7" customHeight="1" x14ac:dyDescent="0.2">
      <c r="B21" s="230">
        <v>16</v>
      </c>
      <c r="C21" s="692" t="s">
        <v>659</v>
      </c>
      <c r="D21" s="219">
        <v>125649.3</v>
      </c>
      <c r="E21" s="219">
        <v>158584.65</v>
      </c>
      <c r="F21" s="219">
        <v>319459.35000000003</v>
      </c>
      <c r="G21" s="219">
        <v>411144.3</v>
      </c>
      <c r="H21" s="219">
        <v>2221003.0500000003</v>
      </c>
      <c r="I21" s="219">
        <v>1198191.75</v>
      </c>
      <c r="J21" s="219">
        <v>1908884.25</v>
      </c>
      <c r="K21" s="219">
        <v>1320280.5</v>
      </c>
      <c r="L21" s="219">
        <v>704818.8</v>
      </c>
      <c r="M21" s="219">
        <v>881023.5</v>
      </c>
      <c r="N21" s="219">
        <v>2202558.75</v>
      </c>
      <c r="O21" s="219">
        <v>2055721.5</v>
      </c>
      <c r="P21" s="219">
        <f t="shared" si="0"/>
        <v>13507319.699999999</v>
      </c>
    </row>
    <row r="22" spans="2:16" ht="19.7" customHeight="1" x14ac:dyDescent="0.2">
      <c r="B22" s="230">
        <v>17</v>
      </c>
      <c r="C22" s="692" t="s">
        <v>660</v>
      </c>
      <c r="D22" s="219">
        <v>125649.3</v>
      </c>
      <c r="E22" s="219">
        <v>158584.65</v>
      </c>
      <c r="F22" s="219">
        <v>319459.35000000003</v>
      </c>
      <c r="G22" s="219">
        <v>411144.3</v>
      </c>
      <c r="H22" s="219">
        <v>2221003.0500000003</v>
      </c>
      <c r="I22" s="219">
        <v>1198191.75</v>
      </c>
      <c r="J22" s="219">
        <v>1908884.25</v>
      </c>
      <c r="K22" s="219">
        <v>1320280.5</v>
      </c>
      <c r="L22" s="219">
        <v>704818.8</v>
      </c>
      <c r="M22" s="219">
        <v>881023.5</v>
      </c>
      <c r="N22" s="219">
        <v>2202558.75</v>
      </c>
      <c r="O22" s="219">
        <v>2055721.5</v>
      </c>
      <c r="P22" s="219">
        <f t="shared" si="0"/>
        <v>13507319.699999999</v>
      </c>
    </row>
    <row r="23" spans="2:16" ht="19.7" customHeight="1" x14ac:dyDescent="0.2">
      <c r="B23" s="230">
        <v>18</v>
      </c>
      <c r="C23" s="692" t="s">
        <v>661</v>
      </c>
      <c r="D23" s="219">
        <v>125649.3</v>
      </c>
      <c r="E23" s="219">
        <v>158584.65</v>
      </c>
      <c r="F23" s="219">
        <v>319459.35000000003</v>
      </c>
      <c r="G23" s="219">
        <v>411144.3</v>
      </c>
      <c r="H23" s="219">
        <v>2221003.0500000003</v>
      </c>
      <c r="I23" s="219">
        <v>1198191.75</v>
      </c>
      <c r="J23" s="219">
        <v>1908884.25</v>
      </c>
      <c r="K23" s="219">
        <v>1320280.5</v>
      </c>
      <c r="L23" s="219">
        <v>704818.8</v>
      </c>
      <c r="M23" s="219">
        <v>881023.5</v>
      </c>
      <c r="N23" s="219">
        <v>2202558.75</v>
      </c>
      <c r="O23" s="219">
        <v>2055721.5</v>
      </c>
      <c r="P23" s="219">
        <f t="shared" si="0"/>
        <v>13507319.699999999</v>
      </c>
    </row>
    <row r="24" spans="2:16" ht="19.7" customHeight="1" x14ac:dyDescent="0.2">
      <c r="B24" s="230">
        <v>19</v>
      </c>
      <c r="C24" s="692" t="s">
        <v>662</v>
      </c>
      <c r="D24" s="219">
        <v>0</v>
      </c>
      <c r="E24" s="219">
        <v>0</v>
      </c>
      <c r="F24" s="219">
        <v>319459.35000000003</v>
      </c>
      <c r="G24" s="219">
        <v>411144.3</v>
      </c>
      <c r="H24" s="219">
        <v>686155.05</v>
      </c>
      <c r="I24" s="219">
        <v>1198191.75</v>
      </c>
      <c r="J24" s="219">
        <v>398611.5</v>
      </c>
      <c r="K24" s="219">
        <v>1320280.5</v>
      </c>
      <c r="L24" s="219">
        <v>704818.8</v>
      </c>
      <c r="M24" s="219">
        <v>881023.5</v>
      </c>
      <c r="N24" s="219">
        <v>2202558.75</v>
      </c>
      <c r="O24" s="219">
        <v>797224.05</v>
      </c>
      <c r="P24" s="219">
        <f t="shared" si="0"/>
        <v>8919467.5500000007</v>
      </c>
    </row>
    <row r="25" spans="2:16" ht="19.7" customHeight="1" x14ac:dyDescent="0.2">
      <c r="B25" s="230">
        <v>20</v>
      </c>
      <c r="C25" s="692" t="s">
        <v>663</v>
      </c>
      <c r="D25" s="219">
        <v>125649.3</v>
      </c>
      <c r="E25" s="219">
        <v>158584.65</v>
      </c>
      <c r="F25" s="219">
        <v>319459.35000000003</v>
      </c>
      <c r="G25" s="219">
        <v>411144.3</v>
      </c>
      <c r="H25" s="219">
        <v>2221003.0500000003</v>
      </c>
      <c r="I25" s="219">
        <v>1198191.75</v>
      </c>
      <c r="J25" s="219">
        <v>1908884.25</v>
      </c>
      <c r="K25" s="219">
        <v>1320280.5</v>
      </c>
      <c r="L25" s="219">
        <v>704818.8</v>
      </c>
      <c r="M25" s="219">
        <v>881023.5</v>
      </c>
      <c r="N25" s="219">
        <v>2202558.75</v>
      </c>
      <c r="O25" s="219">
        <v>2055721.5</v>
      </c>
      <c r="P25" s="219">
        <f t="shared" si="0"/>
        <v>13507319.699999999</v>
      </c>
    </row>
    <row r="26" spans="2:16" ht="19.7" customHeight="1" x14ac:dyDescent="0.2">
      <c r="B26" s="230">
        <v>21</v>
      </c>
      <c r="C26" s="692" t="s">
        <v>663</v>
      </c>
      <c r="D26" s="219">
        <v>125649.3</v>
      </c>
      <c r="E26" s="219">
        <v>158584.65</v>
      </c>
      <c r="F26" s="219">
        <v>319459.35000000003</v>
      </c>
      <c r="G26" s="219">
        <v>411144.3</v>
      </c>
      <c r="H26" s="219">
        <v>2221003.0500000003</v>
      </c>
      <c r="I26" s="219">
        <v>1198191.75</v>
      </c>
      <c r="J26" s="219">
        <v>1908884.25</v>
      </c>
      <c r="K26" s="219">
        <v>1320280.5</v>
      </c>
      <c r="L26" s="219">
        <v>704818.8</v>
      </c>
      <c r="M26" s="219">
        <v>881023.5</v>
      </c>
      <c r="N26" s="219">
        <v>2202558.75</v>
      </c>
      <c r="O26" s="219">
        <v>2055721.5</v>
      </c>
      <c r="P26" s="219">
        <f t="shared" si="0"/>
        <v>13507319.699999999</v>
      </c>
    </row>
    <row r="27" spans="2:16" ht="19.7" customHeight="1" x14ac:dyDescent="0.2">
      <c r="B27" s="230">
        <v>22</v>
      </c>
      <c r="C27" s="692" t="s">
        <v>664</v>
      </c>
      <c r="D27" s="219">
        <v>125649.3</v>
      </c>
      <c r="E27" s="219">
        <v>158584.65</v>
      </c>
      <c r="F27" s="219">
        <v>319459.35000000003</v>
      </c>
      <c r="G27" s="219">
        <v>411144.3</v>
      </c>
      <c r="H27" s="219">
        <v>2221003.0500000003</v>
      </c>
      <c r="I27" s="219">
        <v>1198191.75</v>
      </c>
      <c r="J27" s="219">
        <v>1908884.25</v>
      </c>
      <c r="K27" s="219">
        <v>1320280.5</v>
      </c>
      <c r="L27" s="219">
        <v>704818.8</v>
      </c>
      <c r="M27" s="219">
        <v>881023.5</v>
      </c>
      <c r="N27" s="219">
        <v>2202558.75</v>
      </c>
      <c r="O27" s="219">
        <v>2055721.5</v>
      </c>
      <c r="P27" s="219">
        <f t="shared" si="0"/>
        <v>13507319.699999999</v>
      </c>
    </row>
    <row r="28" spans="2:16" ht="19.7" customHeight="1" x14ac:dyDescent="0.2">
      <c r="B28" s="230">
        <v>23</v>
      </c>
      <c r="C28" s="692" t="s">
        <v>455</v>
      </c>
      <c r="D28" s="219">
        <v>125649.3</v>
      </c>
      <c r="E28" s="219">
        <v>158584.65</v>
      </c>
      <c r="F28" s="219">
        <v>319459.35000000003</v>
      </c>
      <c r="G28" s="219">
        <v>411144.3</v>
      </c>
      <c r="H28" s="219">
        <v>2221003.0500000003</v>
      </c>
      <c r="I28" s="219">
        <v>1198191.75</v>
      </c>
      <c r="J28" s="219">
        <v>1908884.25</v>
      </c>
      <c r="K28" s="219">
        <v>1320280.5</v>
      </c>
      <c r="L28" s="219">
        <v>704818.8</v>
      </c>
      <c r="M28" s="219">
        <v>881023.5</v>
      </c>
      <c r="N28" s="219">
        <v>2202558.75</v>
      </c>
      <c r="O28" s="219">
        <v>2055721.5</v>
      </c>
      <c r="P28" s="219">
        <f t="shared" si="0"/>
        <v>13507319.699999999</v>
      </c>
    </row>
    <row r="29" spans="2:16" ht="19.7" customHeight="1" x14ac:dyDescent="0.2">
      <c r="B29" s="230">
        <v>24</v>
      </c>
      <c r="C29" s="692" t="s">
        <v>665</v>
      </c>
      <c r="D29" s="219">
        <v>0</v>
      </c>
      <c r="E29" s="219">
        <v>0</v>
      </c>
      <c r="F29" s="219">
        <v>319459.35000000003</v>
      </c>
      <c r="G29" s="219">
        <v>411144.3</v>
      </c>
      <c r="H29" s="219">
        <v>686155.05</v>
      </c>
      <c r="I29" s="219">
        <v>1198191.75</v>
      </c>
      <c r="J29" s="219">
        <v>398611.5</v>
      </c>
      <c r="K29" s="219">
        <v>1320280.5</v>
      </c>
      <c r="L29" s="219">
        <v>704818.8</v>
      </c>
      <c r="M29" s="219">
        <v>881023.5</v>
      </c>
      <c r="N29" s="219">
        <v>2202558.75</v>
      </c>
      <c r="O29" s="219">
        <v>797224.05</v>
      </c>
      <c r="P29" s="219">
        <f t="shared" si="0"/>
        <v>8919467.5500000007</v>
      </c>
    </row>
    <row r="30" spans="2:16" ht="19.7" customHeight="1" x14ac:dyDescent="0.2">
      <c r="B30" s="945" t="s">
        <v>297</v>
      </c>
      <c r="C30" s="947"/>
      <c r="D30" s="694">
        <f>SUM(D6:D29)</f>
        <v>2764284.5999999996</v>
      </c>
      <c r="E30" s="694">
        <f t="shared" ref="E30:P30" si="1">SUM(E6:E29)</f>
        <v>3488862.2999999989</v>
      </c>
      <c r="F30" s="694">
        <f t="shared" si="1"/>
        <v>7667024.3999999966</v>
      </c>
      <c r="G30" s="694">
        <f t="shared" si="1"/>
        <v>9867463.1999999993</v>
      </c>
      <c r="H30" s="694">
        <f t="shared" si="1"/>
        <v>50234377.199999981</v>
      </c>
      <c r="I30" s="694">
        <f t="shared" si="1"/>
        <v>28756602</v>
      </c>
      <c r="J30" s="694">
        <f t="shared" si="1"/>
        <v>42792676.5</v>
      </c>
      <c r="K30" s="694">
        <f t="shared" si="1"/>
        <v>31686732</v>
      </c>
      <c r="L30" s="694">
        <f t="shared" si="1"/>
        <v>16915651.200000007</v>
      </c>
      <c r="M30" s="694">
        <f t="shared" si="1"/>
        <v>21144564</v>
      </c>
      <c r="N30" s="694">
        <f t="shared" si="1"/>
        <v>52861410</v>
      </c>
      <c r="O30" s="694">
        <f t="shared" si="1"/>
        <v>46820321.099999994</v>
      </c>
      <c r="P30" s="694">
        <f t="shared" si="1"/>
        <v>314999968.49999988</v>
      </c>
    </row>
    <row r="31" spans="2:16" ht="19.7" customHeight="1" x14ac:dyDescent="0.2">
      <c r="B31" s="259"/>
      <c r="C31" s="259"/>
      <c r="D31" s="225"/>
      <c r="E31" s="225"/>
      <c r="F31" s="225"/>
      <c r="G31" s="225"/>
      <c r="H31" s="225"/>
      <c r="I31" s="225"/>
      <c r="J31" s="225"/>
      <c r="K31" s="225"/>
      <c r="L31" s="225"/>
      <c r="M31" s="225"/>
      <c r="N31" s="903" t="s">
        <v>161</v>
      </c>
      <c r="O31" s="903"/>
      <c r="P31" s="224">
        <f>SUM(D30:O30)</f>
        <v>314999968.5</v>
      </c>
    </row>
    <row r="32" spans="2:16" ht="19.7" customHeight="1" x14ac:dyDescent="0.2">
      <c r="B32" s="259"/>
      <c r="C32" s="259"/>
      <c r="D32" s="225"/>
      <c r="E32" s="225"/>
      <c r="F32" s="225"/>
      <c r="G32" s="225"/>
      <c r="H32" s="225"/>
      <c r="I32" s="225"/>
      <c r="J32" s="225"/>
      <c r="K32" s="225"/>
      <c r="L32" s="225"/>
      <c r="M32" s="225"/>
      <c r="N32" s="903" t="s">
        <v>666</v>
      </c>
      <c r="O32" s="903"/>
      <c r="P32" s="224">
        <f>P31*0.3</f>
        <v>94499990.549999997</v>
      </c>
    </row>
  </sheetData>
  <mergeCells count="19">
    <mergeCell ref="P4:P5"/>
    <mergeCell ref="B3:P3"/>
    <mergeCell ref="B4:B5"/>
    <mergeCell ref="C4:C5"/>
    <mergeCell ref="D4:D5"/>
    <mergeCell ref="E4:E5"/>
    <mergeCell ref="F4:F5"/>
    <mergeCell ref="G4:G5"/>
    <mergeCell ref="H4:H5"/>
    <mergeCell ref="I4:I5"/>
    <mergeCell ref="J4:J5"/>
    <mergeCell ref="B30:C30"/>
    <mergeCell ref="N31:O31"/>
    <mergeCell ref="N32:O32"/>
    <mergeCell ref="K4:K5"/>
    <mergeCell ref="L4:L5"/>
    <mergeCell ref="M4:M5"/>
    <mergeCell ref="N4:N5"/>
    <mergeCell ref="O4:O5"/>
  </mergeCells>
  <pageMargins left="0.7" right="0.7" top="0.75" bottom="0.75" header="0.3" footer="0.3"/>
  <pageSetup paperSize="5" scale="75" orientation="landscape" r:id="rId1"/>
  <headerFooter>
    <oddFooter xml:space="preserve">&amp;C
</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D3:V45"/>
  <sheetViews>
    <sheetView view="pageLayout" workbookViewId="0">
      <selection activeCell="D3" sqref="D3:V45"/>
    </sheetView>
  </sheetViews>
  <sheetFormatPr baseColWidth="10" defaultRowHeight="15" x14ac:dyDescent="0.25"/>
  <cols>
    <col min="1" max="3" width="11.42578125" style="113"/>
    <col min="4" max="4" width="6.140625" style="262" customWidth="1"/>
    <col min="5" max="5" width="20" style="113" customWidth="1"/>
    <col min="6" max="6" width="6.140625" style="113" bestFit="1" customWidth="1"/>
    <col min="7" max="7" width="10.140625" style="113" bestFit="1" customWidth="1"/>
    <col min="8" max="8" width="6.140625" style="113" bestFit="1" customWidth="1"/>
    <col min="9" max="9" width="9" style="113" bestFit="1" customWidth="1"/>
    <col min="10" max="10" width="5.7109375" style="113" bestFit="1" customWidth="1"/>
    <col min="11" max="11" width="10.140625" style="113" bestFit="1" customWidth="1"/>
    <col min="12" max="12" width="5.7109375" style="113" bestFit="1" customWidth="1"/>
    <col min="13" max="13" width="10.140625" style="113" bestFit="1" customWidth="1"/>
    <col min="14" max="14" width="5.7109375" style="113" bestFit="1" customWidth="1"/>
    <col min="15" max="15" width="9" style="113" bestFit="1" customWidth="1"/>
    <col min="16" max="16" width="5.7109375" style="113" bestFit="1" customWidth="1"/>
    <col min="17" max="17" width="7.5703125" style="113" bestFit="1" customWidth="1"/>
    <col min="18" max="18" width="5.7109375" style="113" bestFit="1" customWidth="1"/>
    <col min="19" max="19" width="9" style="113" bestFit="1" customWidth="1"/>
    <col min="20" max="20" width="5.7109375" style="113" bestFit="1" customWidth="1"/>
    <col min="21" max="21" width="9.7109375" style="113" customWidth="1"/>
    <col min="22" max="22" width="10.140625" style="113" bestFit="1" customWidth="1"/>
    <col min="23" max="16384" width="11.42578125" style="113"/>
  </cols>
  <sheetData>
    <row r="3" spans="4:22" x14ac:dyDescent="0.25">
      <c r="D3" s="944" t="s">
        <v>1422</v>
      </c>
      <c r="E3" s="944"/>
      <c r="F3" s="944"/>
      <c r="G3" s="944"/>
      <c r="H3" s="944"/>
      <c r="I3" s="944"/>
      <c r="J3" s="944"/>
      <c r="K3" s="944"/>
      <c r="L3" s="944"/>
      <c r="M3" s="944"/>
      <c r="N3" s="944"/>
      <c r="O3" s="944"/>
      <c r="P3" s="944"/>
      <c r="Q3" s="944"/>
      <c r="R3" s="944"/>
      <c r="S3" s="944"/>
      <c r="T3" s="944"/>
      <c r="U3" s="944"/>
      <c r="V3" s="944"/>
    </row>
    <row r="4" spans="4:22" ht="28.5" customHeight="1" x14ac:dyDescent="0.25">
      <c r="D4" s="1044" t="s">
        <v>346</v>
      </c>
      <c r="E4" s="1044" t="s">
        <v>287</v>
      </c>
      <c r="F4" s="967" t="s">
        <v>667</v>
      </c>
      <c r="G4" s="967"/>
      <c r="H4" s="967" t="s">
        <v>668</v>
      </c>
      <c r="I4" s="967"/>
      <c r="J4" s="967" t="s">
        <v>669</v>
      </c>
      <c r="K4" s="967"/>
      <c r="L4" s="967" t="s">
        <v>670</v>
      </c>
      <c r="M4" s="967"/>
      <c r="N4" s="967" t="s">
        <v>671</v>
      </c>
      <c r="O4" s="967"/>
      <c r="P4" s="967" t="s">
        <v>672</v>
      </c>
      <c r="Q4" s="967"/>
      <c r="R4" s="967" t="s">
        <v>673</v>
      </c>
      <c r="S4" s="967"/>
      <c r="T4" s="967" t="s">
        <v>674</v>
      </c>
      <c r="U4" s="967"/>
      <c r="V4" s="967" t="s">
        <v>454</v>
      </c>
    </row>
    <row r="5" spans="4:22" x14ac:dyDescent="0.25">
      <c r="D5" s="1045"/>
      <c r="E5" s="1045"/>
      <c r="F5" s="740" t="s">
        <v>162</v>
      </c>
      <c r="G5" s="740" t="s">
        <v>454</v>
      </c>
      <c r="H5" s="740" t="s">
        <v>162</v>
      </c>
      <c r="I5" s="740" t="s">
        <v>454</v>
      </c>
      <c r="J5" s="740" t="s">
        <v>366</v>
      </c>
      <c r="K5" s="740" t="s">
        <v>454</v>
      </c>
      <c r="L5" s="740" t="s">
        <v>366</v>
      </c>
      <c r="M5" s="740" t="s">
        <v>454</v>
      </c>
      <c r="N5" s="740" t="s">
        <v>366</v>
      </c>
      <c r="O5" s="740" t="s">
        <v>454</v>
      </c>
      <c r="P5" s="740" t="s">
        <v>366</v>
      </c>
      <c r="Q5" s="740" t="s">
        <v>454</v>
      </c>
      <c r="R5" s="740" t="s">
        <v>366</v>
      </c>
      <c r="S5" s="740" t="s">
        <v>454</v>
      </c>
      <c r="T5" s="740" t="s">
        <v>366</v>
      </c>
      <c r="U5" s="740" t="s">
        <v>454</v>
      </c>
      <c r="V5" s="967"/>
    </row>
    <row r="6" spans="4:22" x14ac:dyDescent="0.25">
      <c r="D6" s="230">
        <v>1</v>
      </c>
      <c r="E6" s="254" t="s">
        <v>241</v>
      </c>
      <c r="F6" s="695">
        <v>4</v>
      </c>
      <c r="G6" s="219">
        <v>486245.55000000005</v>
      </c>
      <c r="H6" s="695">
        <v>4</v>
      </c>
      <c r="I6" s="219">
        <v>123360.3</v>
      </c>
      <c r="J6" s="695">
        <v>4</v>
      </c>
      <c r="K6" s="219">
        <v>643118.70000000007</v>
      </c>
      <c r="L6" s="695">
        <v>4</v>
      </c>
      <c r="M6" s="219">
        <v>442040.55000000005</v>
      </c>
      <c r="N6" s="695">
        <v>4</v>
      </c>
      <c r="O6" s="219">
        <v>198918.30000000002</v>
      </c>
      <c r="P6" s="695">
        <v>4</v>
      </c>
      <c r="Q6" s="219">
        <v>19532.100000000002</v>
      </c>
      <c r="R6" s="695">
        <v>4</v>
      </c>
      <c r="S6" s="219">
        <v>156873.15</v>
      </c>
      <c r="T6" s="695">
        <v>4</v>
      </c>
      <c r="U6" s="219">
        <v>79362.150000000009</v>
      </c>
      <c r="V6" s="219">
        <f>U6+S6+Q6+O6+M6+K6+I6+G6</f>
        <v>2149450.8000000003</v>
      </c>
    </row>
    <row r="7" spans="4:22" x14ac:dyDescent="0.25">
      <c r="D7" s="230">
        <v>2</v>
      </c>
      <c r="E7" s="254" t="s">
        <v>242</v>
      </c>
      <c r="F7" s="695">
        <v>4</v>
      </c>
      <c r="G7" s="219">
        <v>486245.55000000005</v>
      </c>
      <c r="H7" s="695">
        <v>4</v>
      </c>
      <c r="I7" s="219">
        <v>123360.3</v>
      </c>
      <c r="J7" s="695">
        <v>4</v>
      </c>
      <c r="K7" s="219">
        <v>643118.70000000007</v>
      </c>
      <c r="L7" s="695">
        <v>4</v>
      </c>
      <c r="M7" s="219">
        <v>442040.55000000005</v>
      </c>
      <c r="N7" s="695">
        <v>4</v>
      </c>
      <c r="O7" s="219">
        <v>198918.30000000002</v>
      </c>
      <c r="P7" s="695">
        <v>4</v>
      </c>
      <c r="Q7" s="219">
        <v>19532.100000000002</v>
      </c>
      <c r="R7" s="695">
        <v>4</v>
      </c>
      <c r="S7" s="219">
        <v>156873.15</v>
      </c>
      <c r="T7" s="695">
        <v>4</v>
      </c>
      <c r="U7" s="219">
        <v>79362.150000000009</v>
      </c>
      <c r="V7" s="219">
        <f t="shared" ref="V7:V42" si="0">U7+S7+Q7+O7+M7+K7+I7+G7</f>
        <v>2149450.8000000003</v>
      </c>
    </row>
    <row r="8" spans="4:22" x14ac:dyDescent="0.25">
      <c r="D8" s="230">
        <v>3</v>
      </c>
      <c r="E8" s="254" t="s">
        <v>243</v>
      </c>
      <c r="F8" s="695">
        <v>4</v>
      </c>
      <c r="G8" s="219">
        <v>486245.55000000005</v>
      </c>
      <c r="H8" s="695">
        <v>4</v>
      </c>
      <c r="I8" s="219">
        <v>123360.3</v>
      </c>
      <c r="J8" s="695">
        <v>0</v>
      </c>
      <c r="K8" s="219">
        <v>643118.70000000007</v>
      </c>
      <c r="L8" s="695">
        <v>0</v>
      </c>
      <c r="M8" s="219">
        <v>442040.55000000005</v>
      </c>
      <c r="N8" s="695">
        <v>0</v>
      </c>
      <c r="O8" s="219">
        <v>198918.30000000002</v>
      </c>
      <c r="P8" s="695">
        <v>0</v>
      </c>
      <c r="Q8" s="219">
        <v>19532.100000000002</v>
      </c>
      <c r="R8" s="695">
        <v>0</v>
      </c>
      <c r="S8" s="219">
        <v>156873.15</v>
      </c>
      <c r="T8" s="695">
        <v>0</v>
      </c>
      <c r="U8" s="219">
        <v>79362.150000000009</v>
      </c>
      <c r="V8" s="219">
        <f t="shared" si="0"/>
        <v>2149450.8000000003</v>
      </c>
    </row>
    <row r="9" spans="4:22" x14ac:dyDescent="0.25">
      <c r="D9" s="230">
        <v>4</v>
      </c>
      <c r="E9" s="254" t="s">
        <v>244</v>
      </c>
      <c r="F9" s="695">
        <v>4</v>
      </c>
      <c r="G9" s="219">
        <v>486245.55000000005</v>
      </c>
      <c r="H9" s="695">
        <v>4</v>
      </c>
      <c r="I9" s="219">
        <v>123360.3</v>
      </c>
      <c r="J9" s="695">
        <v>4</v>
      </c>
      <c r="K9" s="219">
        <v>643118.70000000007</v>
      </c>
      <c r="L9" s="695">
        <v>4</v>
      </c>
      <c r="M9" s="219">
        <v>442040.55000000005</v>
      </c>
      <c r="N9" s="695">
        <v>4</v>
      </c>
      <c r="O9" s="219">
        <v>198918.30000000002</v>
      </c>
      <c r="P9" s="695">
        <v>4</v>
      </c>
      <c r="Q9" s="219">
        <v>19532.100000000002</v>
      </c>
      <c r="R9" s="695">
        <v>4</v>
      </c>
      <c r="S9" s="219">
        <v>156873.15</v>
      </c>
      <c r="T9" s="695">
        <v>4</v>
      </c>
      <c r="U9" s="219">
        <v>79362.150000000009</v>
      </c>
      <c r="V9" s="219">
        <f t="shared" si="0"/>
        <v>2149450.8000000003</v>
      </c>
    </row>
    <row r="10" spans="4:22" x14ac:dyDescent="0.25">
      <c r="D10" s="230">
        <v>5</v>
      </c>
      <c r="E10" s="254" t="s">
        <v>245</v>
      </c>
      <c r="F10" s="695">
        <v>4</v>
      </c>
      <c r="G10" s="219">
        <v>486245.55000000005</v>
      </c>
      <c r="H10" s="695">
        <v>4</v>
      </c>
      <c r="I10" s="219">
        <v>123360.3</v>
      </c>
      <c r="J10" s="695">
        <v>4</v>
      </c>
      <c r="K10" s="219">
        <v>643118.70000000007</v>
      </c>
      <c r="L10" s="695">
        <v>4</v>
      </c>
      <c r="M10" s="219">
        <v>442040.55000000005</v>
      </c>
      <c r="N10" s="695">
        <v>4</v>
      </c>
      <c r="O10" s="219">
        <v>198918.30000000002</v>
      </c>
      <c r="P10" s="695">
        <v>4</v>
      </c>
      <c r="Q10" s="219">
        <v>19532.100000000002</v>
      </c>
      <c r="R10" s="695">
        <v>4</v>
      </c>
      <c r="S10" s="219">
        <v>156873.15</v>
      </c>
      <c r="T10" s="695">
        <v>4</v>
      </c>
      <c r="U10" s="219">
        <v>79362.150000000009</v>
      </c>
      <c r="V10" s="219">
        <f t="shared" si="0"/>
        <v>2149450.8000000003</v>
      </c>
    </row>
    <row r="11" spans="4:22" x14ac:dyDescent="0.25">
      <c r="D11" s="230">
        <v>6</v>
      </c>
      <c r="E11" s="254" t="s">
        <v>246</v>
      </c>
      <c r="F11" s="695">
        <v>4</v>
      </c>
      <c r="G11" s="219">
        <v>486245.55000000005</v>
      </c>
      <c r="H11" s="695">
        <v>4</v>
      </c>
      <c r="I11" s="219">
        <v>123360.3</v>
      </c>
      <c r="J11" s="695">
        <v>4</v>
      </c>
      <c r="K11" s="219">
        <v>643118.70000000007</v>
      </c>
      <c r="L11" s="695">
        <v>4</v>
      </c>
      <c r="M11" s="219">
        <v>442040.55000000005</v>
      </c>
      <c r="N11" s="695">
        <v>4</v>
      </c>
      <c r="O11" s="219">
        <v>198918.30000000002</v>
      </c>
      <c r="P11" s="695">
        <v>4</v>
      </c>
      <c r="Q11" s="219">
        <v>19532.100000000002</v>
      </c>
      <c r="R11" s="695">
        <v>4</v>
      </c>
      <c r="S11" s="219">
        <v>156873.15</v>
      </c>
      <c r="T11" s="695">
        <v>4</v>
      </c>
      <c r="U11" s="219">
        <v>79362.150000000009</v>
      </c>
      <c r="V11" s="219">
        <f t="shared" si="0"/>
        <v>2149450.8000000003</v>
      </c>
    </row>
    <row r="12" spans="4:22" x14ac:dyDescent="0.25">
      <c r="D12" s="230">
        <v>7</v>
      </c>
      <c r="E12" s="254" t="s">
        <v>526</v>
      </c>
      <c r="F12" s="695">
        <v>4</v>
      </c>
      <c r="G12" s="219">
        <v>486245.55000000005</v>
      </c>
      <c r="H12" s="695">
        <v>4</v>
      </c>
      <c r="I12" s="219">
        <v>123360.3</v>
      </c>
      <c r="J12" s="695">
        <v>4</v>
      </c>
      <c r="K12" s="219">
        <v>643118.70000000007</v>
      </c>
      <c r="L12" s="695">
        <v>4</v>
      </c>
      <c r="M12" s="219">
        <v>442040.55000000005</v>
      </c>
      <c r="N12" s="695">
        <v>4</v>
      </c>
      <c r="O12" s="219">
        <v>198918.30000000002</v>
      </c>
      <c r="P12" s="695">
        <v>4</v>
      </c>
      <c r="Q12" s="219">
        <v>19532.100000000002</v>
      </c>
      <c r="R12" s="695">
        <v>4</v>
      </c>
      <c r="S12" s="219">
        <v>156873.15</v>
      </c>
      <c r="T12" s="695">
        <v>4</v>
      </c>
      <c r="U12" s="219">
        <v>79362.150000000009</v>
      </c>
      <c r="V12" s="219">
        <f t="shared" si="0"/>
        <v>2149450.8000000003</v>
      </c>
    </row>
    <row r="13" spans="4:22" x14ac:dyDescent="0.25">
      <c r="D13" s="230">
        <v>8</v>
      </c>
      <c r="E13" s="254" t="s">
        <v>316</v>
      </c>
      <c r="F13" s="695">
        <v>4</v>
      </c>
      <c r="G13" s="219">
        <v>486245.55000000005</v>
      </c>
      <c r="H13" s="695">
        <v>4</v>
      </c>
      <c r="I13" s="219">
        <v>123360.3</v>
      </c>
      <c r="J13" s="695">
        <v>4</v>
      </c>
      <c r="K13" s="219">
        <v>643118.70000000007</v>
      </c>
      <c r="L13" s="695">
        <v>4</v>
      </c>
      <c r="M13" s="219">
        <v>442040.55000000005</v>
      </c>
      <c r="N13" s="695">
        <v>4</v>
      </c>
      <c r="O13" s="219">
        <v>198918.30000000002</v>
      </c>
      <c r="P13" s="695">
        <v>4</v>
      </c>
      <c r="Q13" s="219">
        <v>19532.100000000002</v>
      </c>
      <c r="R13" s="695">
        <v>4</v>
      </c>
      <c r="S13" s="219">
        <v>156873.15</v>
      </c>
      <c r="T13" s="695">
        <v>4</v>
      </c>
      <c r="U13" s="219">
        <v>79362.150000000009</v>
      </c>
      <c r="V13" s="219">
        <f t="shared" si="0"/>
        <v>2149450.8000000003</v>
      </c>
    </row>
    <row r="14" spans="4:22" x14ac:dyDescent="0.25">
      <c r="D14" s="230">
        <v>9</v>
      </c>
      <c r="E14" s="254" t="s">
        <v>250</v>
      </c>
      <c r="F14" s="695">
        <v>4</v>
      </c>
      <c r="G14" s="219">
        <v>486245.55000000005</v>
      </c>
      <c r="H14" s="695">
        <v>4</v>
      </c>
      <c r="I14" s="219">
        <v>123360.3</v>
      </c>
      <c r="J14" s="695">
        <v>4</v>
      </c>
      <c r="K14" s="219">
        <v>643118.70000000007</v>
      </c>
      <c r="L14" s="695">
        <v>4</v>
      </c>
      <c r="M14" s="219">
        <v>442040.55000000005</v>
      </c>
      <c r="N14" s="695">
        <v>4</v>
      </c>
      <c r="O14" s="219">
        <v>198918.30000000002</v>
      </c>
      <c r="P14" s="695">
        <v>4</v>
      </c>
      <c r="Q14" s="219">
        <v>19532.100000000002</v>
      </c>
      <c r="R14" s="695">
        <v>4</v>
      </c>
      <c r="S14" s="219">
        <v>156873.15</v>
      </c>
      <c r="T14" s="695">
        <v>4</v>
      </c>
      <c r="U14" s="219">
        <v>79362.150000000009</v>
      </c>
      <c r="V14" s="219">
        <f t="shared" si="0"/>
        <v>2149450.8000000003</v>
      </c>
    </row>
    <row r="15" spans="4:22" x14ac:dyDescent="0.25">
      <c r="D15" s="230">
        <v>10</v>
      </c>
      <c r="E15" s="254" t="s">
        <v>251</v>
      </c>
      <c r="F15" s="695">
        <v>4</v>
      </c>
      <c r="G15" s="219">
        <v>486245.55000000005</v>
      </c>
      <c r="H15" s="695">
        <v>4</v>
      </c>
      <c r="I15" s="219">
        <v>123360.3</v>
      </c>
      <c r="J15" s="695">
        <v>4</v>
      </c>
      <c r="K15" s="219">
        <v>643118.70000000007</v>
      </c>
      <c r="L15" s="695">
        <v>4</v>
      </c>
      <c r="M15" s="219">
        <v>442040.55000000005</v>
      </c>
      <c r="N15" s="695">
        <v>4</v>
      </c>
      <c r="O15" s="219">
        <v>198918.30000000002</v>
      </c>
      <c r="P15" s="695">
        <v>4</v>
      </c>
      <c r="Q15" s="219">
        <v>19532.100000000002</v>
      </c>
      <c r="R15" s="695">
        <v>4</v>
      </c>
      <c r="S15" s="219">
        <v>156873.15</v>
      </c>
      <c r="T15" s="695">
        <v>4</v>
      </c>
      <c r="U15" s="219">
        <v>79362.150000000009</v>
      </c>
      <c r="V15" s="219">
        <f t="shared" si="0"/>
        <v>2149450.8000000003</v>
      </c>
    </row>
    <row r="16" spans="4:22" x14ac:dyDescent="0.25">
      <c r="D16" s="230">
        <v>11</v>
      </c>
      <c r="E16" s="254" t="s">
        <v>252</v>
      </c>
      <c r="F16" s="695">
        <v>4</v>
      </c>
      <c r="G16" s="219">
        <v>486245.55000000005</v>
      </c>
      <c r="H16" s="695">
        <v>4</v>
      </c>
      <c r="I16" s="219">
        <v>123360.3</v>
      </c>
      <c r="J16" s="695">
        <v>4</v>
      </c>
      <c r="K16" s="219">
        <v>643118.70000000007</v>
      </c>
      <c r="L16" s="695">
        <v>4</v>
      </c>
      <c r="M16" s="219">
        <v>442040.55000000005</v>
      </c>
      <c r="N16" s="695">
        <v>4</v>
      </c>
      <c r="O16" s="219">
        <v>198918.30000000002</v>
      </c>
      <c r="P16" s="695">
        <v>4</v>
      </c>
      <c r="Q16" s="219">
        <v>19532.100000000002</v>
      </c>
      <c r="R16" s="695">
        <v>4</v>
      </c>
      <c r="S16" s="219">
        <v>156873.15</v>
      </c>
      <c r="T16" s="695">
        <v>4</v>
      </c>
      <c r="U16" s="219">
        <v>79362.150000000009</v>
      </c>
      <c r="V16" s="219">
        <f t="shared" si="0"/>
        <v>2149450.8000000003</v>
      </c>
    </row>
    <row r="17" spans="4:22" x14ac:dyDescent="0.25">
      <c r="D17" s="230">
        <v>12</v>
      </c>
      <c r="E17" s="254" t="s">
        <v>253</v>
      </c>
      <c r="F17" s="695">
        <v>4</v>
      </c>
      <c r="G17" s="219">
        <v>486245.55000000005</v>
      </c>
      <c r="H17" s="695">
        <v>4</v>
      </c>
      <c r="I17" s="219">
        <v>123360.3</v>
      </c>
      <c r="J17" s="695">
        <v>4</v>
      </c>
      <c r="K17" s="219">
        <v>643118.70000000007</v>
      </c>
      <c r="L17" s="695">
        <v>4</v>
      </c>
      <c r="M17" s="219">
        <v>442040.55000000005</v>
      </c>
      <c r="N17" s="695">
        <v>4</v>
      </c>
      <c r="O17" s="219">
        <v>198918.30000000002</v>
      </c>
      <c r="P17" s="695">
        <v>4</v>
      </c>
      <c r="Q17" s="219">
        <v>19532.100000000002</v>
      </c>
      <c r="R17" s="695">
        <v>4</v>
      </c>
      <c r="S17" s="219">
        <v>156873.15</v>
      </c>
      <c r="T17" s="695">
        <v>4</v>
      </c>
      <c r="U17" s="219">
        <v>79362.150000000009</v>
      </c>
      <c r="V17" s="219">
        <f t="shared" si="0"/>
        <v>2149450.8000000003</v>
      </c>
    </row>
    <row r="18" spans="4:22" x14ac:dyDescent="0.25">
      <c r="D18" s="230">
        <v>13</v>
      </c>
      <c r="E18" s="256" t="s">
        <v>254</v>
      </c>
      <c r="F18" s="695">
        <v>4</v>
      </c>
      <c r="G18" s="219">
        <v>486245.55000000005</v>
      </c>
      <c r="H18" s="695">
        <v>4</v>
      </c>
      <c r="I18" s="219">
        <v>123360.3</v>
      </c>
      <c r="J18" s="695">
        <v>4</v>
      </c>
      <c r="K18" s="219">
        <v>643118.70000000007</v>
      </c>
      <c r="L18" s="695">
        <v>4</v>
      </c>
      <c r="M18" s="219">
        <v>442040.55000000005</v>
      </c>
      <c r="N18" s="695">
        <v>4</v>
      </c>
      <c r="O18" s="219">
        <v>198918.30000000002</v>
      </c>
      <c r="P18" s="695">
        <v>4</v>
      </c>
      <c r="Q18" s="219">
        <v>19532.100000000002</v>
      </c>
      <c r="R18" s="695">
        <v>4</v>
      </c>
      <c r="S18" s="219">
        <v>156873.15</v>
      </c>
      <c r="T18" s="695">
        <v>4</v>
      </c>
      <c r="U18" s="219">
        <v>79362.150000000009</v>
      </c>
      <c r="V18" s="219">
        <f t="shared" si="0"/>
        <v>2149450.8000000003</v>
      </c>
    </row>
    <row r="19" spans="4:22" x14ac:dyDescent="0.25">
      <c r="D19" s="230">
        <v>14</v>
      </c>
      <c r="E19" s="254" t="s">
        <v>255</v>
      </c>
      <c r="F19" s="695">
        <v>4</v>
      </c>
      <c r="G19" s="219">
        <v>486245.55000000005</v>
      </c>
      <c r="H19" s="695">
        <v>4</v>
      </c>
      <c r="I19" s="219">
        <v>123360.3</v>
      </c>
      <c r="J19" s="695">
        <v>4</v>
      </c>
      <c r="K19" s="219">
        <v>643118.70000000007</v>
      </c>
      <c r="L19" s="695">
        <v>4</v>
      </c>
      <c r="M19" s="219">
        <v>442040.55000000005</v>
      </c>
      <c r="N19" s="695">
        <v>4</v>
      </c>
      <c r="O19" s="219">
        <v>198918.30000000002</v>
      </c>
      <c r="P19" s="695">
        <v>4</v>
      </c>
      <c r="Q19" s="219">
        <v>19532.100000000002</v>
      </c>
      <c r="R19" s="695">
        <v>4</v>
      </c>
      <c r="S19" s="219">
        <v>156873.15</v>
      </c>
      <c r="T19" s="695">
        <v>4</v>
      </c>
      <c r="U19" s="219">
        <v>79362.150000000009</v>
      </c>
      <c r="V19" s="219">
        <f t="shared" si="0"/>
        <v>2149450.8000000003</v>
      </c>
    </row>
    <row r="20" spans="4:22" x14ac:dyDescent="0.25">
      <c r="D20" s="230">
        <v>15</v>
      </c>
      <c r="E20" s="254" t="s">
        <v>256</v>
      </c>
      <c r="F20" s="695">
        <v>4</v>
      </c>
      <c r="G20" s="219">
        <v>486245.55000000005</v>
      </c>
      <c r="H20" s="695">
        <v>4</v>
      </c>
      <c r="I20" s="219">
        <v>123360.3</v>
      </c>
      <c r="J20" s="695">
        <v>4</v>
      </c>
      <c r="K20" s="219">
        <v>643118.70000000007</v>
      </c>
      <c r="L20" s="695">
        <v>4</v>
      </c>
      <c r="M20" s="219">
        <v>442040.55000000005</v>
      </c>
      <c r="N20" s="695">
        <v>4</v>
      </c>
      <c r="O20" s="219">
        <v>198918.30000000002</v>
      </c>
      <c r="P20" s="695">
        <v>4</v>
      </c>
      <c r="Q20" s="219">
        <v>19532.100000000002</v>
      </c>
      <c r="R20" s="695">
        <v>4</v>
      </c>
      <c r="S20" s="219">
        <v>156873.15</v>
      </c>
      <c r="T20" s="695">
        <v>4</v>
      </c>
      <c r="U20" s="219">
        <v>79362.150000000009</v>
      </c>
      <c r="V20" s="219">
        <f t="shared" si="0"/>
        <v>2149450.8000000003</v>
      </c>
    </row>
    <row r="21" spans="4:22" x14ac:dyDescent="0.25">
      <c r="D21" s="230">
        <v>16</v>
      </c>
      <c r="E21" s="254" t="s">
        <v>257</v>
      </c>
      <c r="F21" s="695">
        <v>4</v>
      </c>
      <c r="G21" s="219">
        <v>486245.55000000005</v>
      </c>
      <c r="H21" s="695">
        <v>4</v>
      </c>
      <c r="I21" s="219">
        <v>123360.3</v>
      </c>
      <c r="J21" s="695">
        <v>4</v>
      </c>
      <c r="K21" s="219">
        <v>643118.70000000007</v>
      </c>
      <c r="L21" s="695">
        <v>4</v>
      </c>
      <c r="M21" s="219">
        <v>442040.55000000005</v>
      </c>
      <c r="N21" s="695">
        <v>4</v>
      </c>
      <c r="O21" s="219">
        <v>198918.30000000002</v>
      </c>
      <c r="P21" s="695">
        <v>4</v>
      </c>
      <c r="Q21" s="219">
        <v>19532.100000000002</v>
      </c>
      <c r="R21" s="695">
        <v>4</v>
      </c>
      <c r="S21" s="219">
        <v>156873.15</v>
      </c>
      <c r="T21" s="695">
        <v>4</v>
      </c>
      <c r="U21" s="219">
        <v>79362.150000000009</v>
      </c>
      <c r="V21" s="219">
        <f t="shared" si="0"/>
        <v>2149450.8000000003</v>
      </c>
    </row>
    <row r="22" spans="4:22" x14ac:dyDescent="0.25">
      <c r="D22" s="230">
        <v>17</v>
      </c>
      <c r="E22" s="254" t="s">
        <v>258</v>
      </c>
      <c r="F22" s="695">
        <v>4</v>
      </c>
      <c r="G22" s="219">
        <v>486245.55000000005</v>
      </c>
      <c r="H22" s="695">
        <v>4</v>
      </c>
      <c r="I22" s="219">
        <v>123360.3</v>
      </c>
      <c r="J22" s="695">
        <v>4</v>
      </c>
      <c r="K22" s="219">
        <v>643118.70000000007</v>
      </c>
      <c r="L22" s="695">
        <v>4</v>
      </c>
      <c r="M22" s="219">
        <v>442040.55000000005</v>
      </c>
      <c r="N22" s="695">
        <v>4</v>
      </c>
      <c r="O22" s="219">
        <v>198918.30000000002</v>
      </c>
      <c r="P22" s="695">
        <v>4</v>
      </c>
      <c r="Q22" s="219">
        <v>19532.100000000002</v>
      </c>
      <c r="R22" s="695">
        <v>4</v>
      </c>
      <c r="S22" s="219">
        <v>156873.15</v>
      </c>
      <c r="T22" s="695">
        <v>4</v>
      </c>
      <c r="U22" s="219">
        <v>79362.150000000009</v>
      </c>
      <c r="V22" s="219">
        <f t="shared" si="0"/>
        <v>2149450.8000000003</v>
      </c>
    </row>
    <row r="23" spans="4:22" x14ac:dyDescent="0.25">
      <c r="D23" s="230">
        <v>18</v>
      </c>
      <c r="E23" s="254" t="s">
        <v>259</v>
      </c>
      <c r="F23" s="695">
        <v>4</v>
      </c>
      <c r="G23" s="219">
        <v>486245.55000000005</v>
      </c>
      <c r="H23" s="695">
        <v>4</v>
      </c>
      <c r="I23" s="219">
        <v>123360.3</v>
      </c>
      <c r="J23" s="695">
        <v>4</v>
      </c>
      <c r="K23" s="219">
        <v>643118.70000000007</v>
      </c>
      <c r="L23" s="695">
        <v>4</v>
      </c>
      <c r="M23" s="219">
        <v>442040.55000000005</v>
      </c>
      <c r="N23" s="695">
        <v>4</v>
      </c>
      <c r="O23" s="219">
        <v>198918.30000000002</v>
      </c>
      <c r="P23" s="695">
        <v>4</v>
      </c>
      <c r="Q23" s="219">
        <v>19532.100000000002</v>
      </c>
      <c r="R23" s="695">
        <v>4</v>
      </c>
      <c r="S23" s="219">
        <v>156873.15</v>
      </c>
      <c r="T23" s="695">
        <v>4</v>
      </c>
      <c r="U23" s="219">
        <v>79362.150000000009</v>
      </c>
      <c r="V23" s="219">
        <f t="shared" si="0"/>
        <v>2149450.8000000003</v>
      </c>
    </row>
    <row r="24" spans="4:22" x14ac:dyDescent="0.25">
      <c r="D24" s="230">
        <v>19</v>
      </c>
      <c r="E24" s="254" t="s">
        <v>260</v>
      </c>
      <c r="F24" s="695">
        <v>4</v>
      </c>
      <c r="G24" s="219">
        <v>486245.55000000005</v>
      </c>
      <c r="H24" s="695">
        <v>4</v>
      </c>
      <c r="I24" s="219">
        <v>123360.3</v>
      </c>
      <c r="J24" s="695">
        <v>4</v>
      </c>
      <c r="K24" s="219">
        <v>643118.70000000007</v>
      </c>
      <c r="L24" s="695">
        <v>4</v>
      </c>
      <c r="M24" s="219">
        <v>442040.55000000005</v>
      </c>
      <c r="N24" s="695">
        <v>4</v>
      </c>
      <c r="O24" s="219">
        <v>198918.30000000002</v>
      </c>
      <c r="P24" s="695">
        <v>4</v>
      </c>
      <c r="Q24" s="219">
        <v>19532.100000000002</v>
      </c>
      <c r="R24" s="695">
        <v>4</v>
      </c>
      <c r="S24" s="219">
        <v>156873.15</v>
      </c>
      <c r="T24" s="695">
        <v>4</v>
      </c>
      <c r="U24" s="219">
        <v>79362.150000000009</v>
      </c>
      <c r="V24" s="219">
        <f t="shared" si="0"/>
        <v>2149450.8000000003</v>
      </c>
    </row>
    <row r="25" spans="4:22" x14ac:dyDescent="0.25">
      <c r="D25" s="230">
        <v>20</v>
      </c>
      <c r="E25" s="254" t="s">
        <v>261</v>
      </c>
      <c r="F25" s="695">
        <v>4</v>
      </c>
      <c r="G25" s="219">
        <v>486245.55000000005</v>
      </c>
      <c r="H25" s="695">
        <v>4</v>
      </c>
      <c r="I25" s="219">
        <v>123360.3</v>
      </c>
      <c r="J25" s="695">
        <v>4</v>
      </c>
      <c r="K25" s="219">
        <v>643118.70000000007</v>
      </c>
      <c r="L25" s="695">
        <v>4</v>
      </c>
      <c r="M25" s="219">
        <v>442040.55000000005</v>
      </c>
      <c r="N25" s="695">
        <v>4</v>
      </c>
      <c r="O25" s="219">
        <v>198918.30000000002</v>
      </c>
      <c r="P25" s="695">
        <v>4</v>
      </c>
      <c r="Q25" s="219">
        <v>19532.100000000002</v>
      </c>
      <c r="R25" s="695">
        <v>4</v>
      </c>
      <c r="S25" s="219">
        <v>156873.15</v>
      </c>
      <c r="T25" s="695">
        <v>4</v>
      </c>
      <c r="U25" s="219">
        <v>79362.150000000009</v>
      </c>
      <c r="V25" s="219">
        <f t="shared" si="0"/>
        <v>2149450.8000000003</v>
      </c>
    </row>
    <row r="26" spans="4:22" x14ac:dyDescent="0.25">
      <c r="D26" s="230">
        <v>21</v>
      </c>
      <c r="E26" s="254" t="s">
        <v>262</v>
      </c>
      <c r="F26" s="695">
        <v>4</v>
      </c>
      <c r="G26" s="219">
        <v>486245.55000000005</v>
      </c>
      <c r="H26" s="695">
        <v>4</v>
      </c>
      <c r="I26" s="219">
        <v>123360.3</v>
      </c>
      <c r="J26" s="695">
        <v>4</v>
      </c>
      <c r="K26" s="219">
        <v>643118.70000000007</v>
      </c>
      <c r="L26" s="695">
        <v>4</v>
      </c>
      <c r="M26" s="219">
        <v>442040.55000000005</v>
      </c>
      <c r="N26" s="695">
        <v>4</v>
      </c>
      <c r="O26" s="219">
        <v>198918.30000000002</v>
      </c>
      <c r="P26" s="695">
        <v>4</v>
      </c>
      <c r="Q26" s="219">
        <v>19532.100000000002</v>
      </c>
      <c r="R26" s="695">
        <v>4</v>
      </c>
      <c r="S26" s="219">
        <v>156873.15</v>
      </c>
      <c r="T26" s="695">
        <v>4</v>
      </c>
      <c r="U26" s="219">
        <v>79362.150000000009</v>
      </c>
      <c r="V26" s="219">
        <f t="shared" si="0"/>
        <v>2149450.8000000003</v>
      </c>
    </row>
    <row r="27" spans="4:22" x14ac:dyDescent="0.25">
      <c r="D27" s="230">
        <v>22</v>
      </c>
      <c r="E27" s="254" t="s">
        <v>263</v>
      </c>
      <c r="F27" s="695">
        <v>4</v>
      </c>
      <c r="G27" s="219">
        <v>486245.55000000005</v>
      </c>
      <c r="H27" s="695">
        <v>4</v>
      </c>
      <c r="I27" s="219">
        <v>123360.3</v>
      </c>
      <c r="J27" s="695">
        <v>4</v>
      </c>
      <c r="K27" s="219">
        <v>643118.70000000007</v>
      </c>
      <c r="L27" s="695">
        <v>4</v>
      </c>
      <c r="M27" s="219">
        <v>442040.55000000005</v>
      </c>
      <c r="N27" s="695">
        <v>4</v>
      </c>
      <c r="O27" s="219">
        <v>198918.30000000002</v>
      </c>
      <c r="P27" s="695">
        <v>4</v>
      </c>
      <c r="Q27" s="219">
        <v>19532.100000000002</v>
      </c>
      <c r="R27" s="695">
        <v>4</v>
      </c>
      <c r="S27" s="219">
        <v>156873.15</v>
      </c>
      <c r="T27" s="695">
        <v>4</v>
      </c>
      <c r="U27" s="219">
        <v>79362.150000000009</v>
      </c>
      <c r="V27" s="219">
        <f t="shared" si="0"/>
        <v>2149450.8000000003</v>
      </c>
    </row>
    <row r="28" spans="4:22" x14ac:dyDescent="0.25">
      <c r="D28" s="230">
        <v>23</v>
      </c>
      <c r="E28" s="254" t="s">
        <v>264</v>
      </c>
      <c r="F28" s="695">
        <v>4</v>
      </c>
      <c r="G28" s="219">
        <v>486245.55000000005</v>
      </c>
      <c r="H28" s="695">
        <v>4</v>
      </c>
      <c r="I28" s="219">
        <v>123360.3</v>
      </c>
      <c r="J28" s="695">
        <v>4</v>
      </c>
      <c r="K28" s="219">
        <v>643118.70000000007</v>
      </c>
      <c r="L28" s="695">
        <v>4</v>
      </c>
      <c r="M28" s="219">
        <v>442040.55000000005</v>
      </c>
      <c r="N28" s="695">
        <v>4</v>
      </c>
      <c r="O28" s="219">
        <v>198918.30000000002</v>
      </c>
      <c r="P28" s="695">
        <v>4</v>
      </c>
      <c r="Q28" s="219">
        <v>19532.100000000002</v>
      </c>
      <c r="R28" s="695">
        <v>4</v>
      </c>
      <c r="S28" s="219">
        <v>156873.15</v>
      </c>
      <c r="T28" s="695">
        <v>4</v>
      </c>
      <c r="U28" s="219">
        <v>79362.150000000009</v>
      </c>
      <c r="V28" s="219">
        <f t="shared" si="0"/>
        <v>2149450.8000000003</v>
      </c>
    </row>
    <row r="29" spans="4:22" x14ac:dyDescent="0.25">
      <c r="D29" s="230">
        <v>24</v>
      </c>
      <c r="E29" s="254" t="s">
        <v>266</v>
      </c>
      <c r="F29" s="695">
        <v>4</v>
      </c>
      <c r="G29" s="219">
        <v>486245.55000000005</v>
      </c>
      <c r="H29" s="695">
        <v>4</v>
      </c>
      <c r="I29" s="219">
        <v>123360.3</v>
      </c>
      <c r="J29" s="695">
        <v>4</v>
      </c>
      <c r="K29" s="219">
        <v>643118.70000000007</v>
      </c>
      <c r="L29" s="695">
        <v>4</v>
      </c>
      <c r="M29" s="219">
        <v>442040.55000000005</v>
      </c>
      <c r="N29" s="695">
        <v>4</v>
      </c>
      <c r="O29" s="219">
        <v>198918.30000000002</v>
      </c>
      <c r="P29" s="695">
        <v>4</v>
      </c>
      <c r="Q29" s="219">
        <v>19532.100000000002</v>
      </c>
      <c r="R29" s="695">
        <v>4</v>
      </c>
      <c r="S29" s="219">
        <v>156873.15</v>
      </c>
      <c r="T29" s="695">
        <v>4</v>
      </c>
      <c r="U29" s="219">
        <v>79362.150000000009</v>
      </c>
      <c r="V29" s="219">
        <f t="shared" si="0"/>
        <v>2149450.8000000003</v>
      </c>
    </row>
    <row r="30" spans="4:22" x14ac:dyDescent="0.25">
      <c r="D30" s="230">
        <v>25</v>
      </c>
      <c r="E30" s="254" t="s">
        <v>267</v>
      </c>
      <c r="F30" s="695">
        <v>4</v>
      </c>
      <c r="G30" s="219">
        <v>486245.55000000005</v>
      </c>
      <c r="H30" s="695">
        <v>4</v>
      </c>
      <c r="I30" s="219">
        <v>123360.3</v>
      </c>
      <c r="J30" s="695">
        <v>4</v>
      </c>
      <c r="K30" s="219">
        <v>643118.70000000007</v>
      </c>
      <c r="L30" s="695">
        <v>4</v>
      </c>
      <c r="M30" s="219">
        <v>442040.55000000005</v>
      </c>
      <c r="N30" s="695">
        <v>4</v>
      </c>
      <c r="O30" s="219">
        <v>198918.30000000002</v>
      </c>
      <c r="P30" s="695">
        <v>4</v>
      </c>
      <c r="Q30" s="219">
        <v>19532.100000000002</v>
      </c>
      <c r="R30" s="695">
        <v>4</v>
      </c>
      <c r="S30" s="219">
        <v>156873.15</v>
      </c>
      <c r="T30" s="695">
        <v>4</v>
      </c>
      <c r="U30" s="219">
        <v>79362.150000000009</v>
      </c>
      <c r="V30" s="219">
        <f t="shared" si="0"/>
        <v>2149450.8000000003</v>
      </c>
    </row>
    <row r="31" spans="4:22" x14ac:dyDescent="0.25">
      <c r="D31" s="230">
        <v>26</v>
      </c>
      <c r="E31" s="254" t="s">
        <v>268</v>
      </c>
      <c r="F31" s="695">
        <v>4</v>
      </c>
      <c r="G31" s="219">
        <v>486245.55000000005</v>
      </c>
      <c r="H31" s="695">
        <v>4</v>
      </c>
      <c r="I31" s="219">
        <v>123360.3</v>
      </c>
      <c r="J31" s="695">
        <v>4</v>
      </c>
      <c r="K31" s="219">
        <v>643118.70000000007</v>
      </c>
      <c r="L31" s="695">
        <v>4</v>
      </c>
      <c r="M31" s="219">
        <v>442040.55000000005</v>
      </c>
      <c r="N31" s="695">
        <v>4</v>
      </c>
      <c r="O31" s="219">
        <v>198918.30000000002</v>
      </c>
      <c r="P31" s="695">
        <v>4</v>
      </c>
      <c r="Q31" s="219">
        <v>19532.100000000002</v>
      </c>
      <c r="R31" s="695">
        <v>4</v>
      </c>
      <c r="S31" s="219">
        <v>156873.15</v>
      </c>
      <c r="T31" s="695">
        <v>4</v>
      </c>
      <c r="U31" s="219">
        <v>79362.150000000009</v>
      </c>
      <c r="V31" s="219">
        <f t="shared" si="0"/>
        <v>2149450.8000000003</v>
      </c>
    </row>
    <row r="32" spans="4:22" x14ac:dyDescent="0.25">
      <c r="D32" s="230">
        <v>27</v>
      </c>
      <c r="E32" s="254" t="s">
        <v>269</v>
      </c>
      <c r="F32" s="695">
        <v>4</v>
      </c>
      <c r="G32" s="219">
        <v>486245.55000000005</v>
      </c>
      <c r="H32" s="695">
        <v>4</v>
      </c>
      <c r="I32" s="219">
        <v>123360.3</v>
      </c>
      <c r="J32" s="695">
        <v>4</v>
      </c>
      <c r="K32" s="219">
        <v>643118.70000000007</v>
      </c>
      <c r="L32" s="695">
        <v>4</v>
      </c>
      <c r="M32" s="219">
        <v>442040.55000000005</v>
      </c>
      <c r="N32" s="695">
        <v>4</v>
      </c>
      <c r="O32" s="219">
        <v>198918.30000000002</v>
      </c>
      <c r="P32" s="695">
        <v>4</v>
      </c>
      <c r="Q32" s="219">
        <v>19532.100000000002</v>
      </c>
      <c r="R32" s="695">
        <v>4</v>
      </c>
      <c r="S32" s="219">
        <v>156873.15</v>
      </c>
      <c r="T32" s="695">
        <v>4</v>
      </c>
      <c r="U32" s="219">
        <v>79362.150000000009</v>
      </c>
      <c r="V32" s="219">
        <f t="shared" si="0"/>
        <v>2149450.8000000003</v>
      </c>
    </row>
    <row r="33" spans="4:22" x14ac:dyDescent="0.25">
      <c r="D33" s="230">
        <v>28</v>
      </c>
      <c r="E33" s="254" t="s">
        <v>270</v>
      </c>
      <c r="F33" s="695">
        <v>4</v>
      </c>
      <c r="G33" s="219">
        <v>486245.55000000005</v>
      </c>
      <c r="H33" s="695">
        <v>4</v>
      </c>
      <c r="I33" s="219">
        <v>123360.3</v>
      </c>
      <c r="J33" s="695">
        <v>4</v>
      </c>
      <c r="K33" s="219">
        <v>643118.70000000007</v>
      </c>
      <c r="L33" s="695">
        <v>4</v>
      </c>
      <c r="M33" s="219">
        <v>442040.55000000005</v>
      </c>
      <c r="N33" s="695">
        <v>4</v>
      </c>
      <c r="O33" s="219">
        <v>198918.30000000002</v>
      </c>
      <c r="P33" s="695">
        <v>4</v>
      </c>
      <c r="Q33" s="219">
        <v>19532.100000000002</v>
      </c>
      <c r="R33" s="695">
        <v>4</v>
      </c>
      <c r="S33" s="219">
        <v>156873.15</v>
      </c>
      <c r="T33" s="695">
        <v>4</v>
      </c>
      <c r="U33" s="219">
        <v>79362.150000000009</v>
      </c>
      <c r="V33" s="219">
        <f t="shared" si="0"/>
        <v>2149450.8000000003</v>
      </c>
    </row>
    <row r="34" spans="4:22" x14ac:dyDescent="0.25">
      <c r="D34" s="230">
        <v>29</v>
      </c>
      <c r="E34" s="254" t="s">
        <v>271</v>
      </c>
      <c r="F34" s="695">
        <v>4</v>
      </c>
      <c r="G34" s="219">
        <v>486245.55000000005</v>
      </c>
      <c r="H34" s="695">
        <v>4</v>
      </c>
      <c r="I34" s="219">
        <v>123360.3</v>
      </c>
      <c r="J34" s="695">
        <v>4</v>
      </c>
      <c r="K34" s="219">
        <v>643118.70000000007</v>
      </c>
      <c r="L34" s="695">
        <v>4</v>
      </c>
      <c r="M34" s="219">
        <v>442040.55000000005</v>
      </c>
      <c r="N34" s="695">
        <v>4</v>
      </c>
      <c r="O34" s="219">
        <v>198918.30000000002</v>
      </c>
      <c r="P34" s="695">
        <v>4</v>
      </c>
      <c r="Q34" s="219">
        <v>19532.100000000002</v>
      </c>
      <c r="R34" s="695">
        <v>4</v>
      </c>
      <c r="S34" s="219">
        <v>156873.15</v>
      </c>
      <c r="T34" s="695">
        <v>4</v>
      </c>
      <c r="U34" s="219">
        <v>79362.150000000009</v>
      </c>
      <c r="V34" s="219">
        <f t="shared" si="0"/>
        <v>2149450.8000000003</v>
      </c>
    </row>
    <row r="35" spans="4:22" x14ac:dyDescent="0.25">
      <c r="D35" s="230">
        <v>30</v>
      </c>
      <c r="E35" s="254" t="s">
        <v>272</v>
      </c>
      <c r="F35" s="695">
        <v>4</v>
      </c>
      <c r="G35" s="219">
        <v>486245.55000000005</v>
      </c>
      <c r="H35" s="695">
        <v>4</v>
      </c>
      <c r="I35" s="219">
        <v>123360.3</v>
      </c>
      <c r="J35" s="695">
        <v>4</v>
      </c>
      <c r="K35" s="219">
        <v>643118.70000000007</v>
      </c>
      <c r="L35" s="695">
        <v>4</v>
      </c>
      <c r="M35" s="219">
        <v>442040.55000000005</v>
      </c>
      <c r="N35" s="695">
        <v>4</v>
      </c>
      <c r="O35" s="219">
        <v>198918.30000000002</v>
      </c>
      <c r="P35" s="695">
        <v>4</v>
      </c>
      <c r="Q35" s="219">
        <v>19532.100000000002</v>
      </c>
      <c r="R35" s="695">
        <v>4</v>
      </c>
      <c r="S35" s="219">
        <v>156873.15</v>
      </c>
      <c r="T35" s="695">
        <v>4</v>
      </c>
      <c r="U35" s="219">
        <v>79362.150000000009</v>
      </c>
      <c r="V35" s="219">
        <f t="shared" si="0"/>
        <v>2149450.8000000003</v>
      </c>
    </row>
    <row r="36" spans="4:22" x14ac:dyDescent="0.25">
      <c r="D36" s="230">
        <v>31</v>
      </c>
      <c r="E36" s="254" t="s">
        <v>273</v>
      </c>
      <c r="F36" s="695">
        <v>4</v>
      </c>
      <c r="G36" s="219">
        <v>486245.55000000005</v>
      </c>
      <c r="H36" s="695">
        <v>4</v>
      </c>
      <c r="I36" s="219">
        <v>123360.3</v>
      </c>
      <c r="J36" s="695">
        <v>4</v>
      </c>
      <c r="K36" s="219">
        <v>643118.70000000007</v>
      </c>
      <c r="L36" s="695">
        <v>4</v>
      </c>
      <c r="M36" s="219">
        <v>442040.55000000005</v>
      </c>
      <c r="N36" s="695">
        <v>4</v>
      </c>
      <c r="O36" s="219">
        <v>198918.30000000002</v>
      </c>
      <c r="P36" s="695">
        <v>4</v>
      </c>
      <c r="Q36" s="219">
        <v>19532.100000000002</v>
      </c>
      <c r="R36" s="695">
        <v>4</v>
      </c>
      <c r="S36" s="219">
        <v>156873.15</v>
      </c>
      <c r="T36" s="695">
        <v>4</v>
      </c>
      <c r="U36" s="219">
        <v>79362.150000000009</v>
      </c>
      <c r="V36" s="219">
        <f t="shared" si="0"/>
        <v>2149450.8000000003</v>
      </c>
    </row>
    <row r="37" spans="4:22" x14ac:dyDescent="0.25">
      <c r="D37" s="230">
        <v>32</v>
      </c>
      <c r="E37" s="254" t="s">
        <v>274</v>
      </c>
      <c r="F37" s="695">
        <v>4</v>
      </c>
      <c r="G37" s="219">
        <v>486245.55000000005</v>
      </c>
      <c r="H37" s="695">
        <v>4</v>
      </c>
      <c r="I37" s="219">
        <v>123360.3</v>
      </c>
      <c r="J37" s="695">
        <v>4</v>
      </c>
      <c r="K37" s="219">
        <v>643118.70000000007</v>
      </c>
      <c r="L37" s="695">
        <v>4</v>
      </c>
      <c r="M37" s="219">
        <v>442040.55000000005</v>
      </c>
      <c r="N37" s="695">
        <v>4</v>
      </c>
      <c r="O37" s="219">
        <v>198918.30000000002</v>
      </c>
      <c r="P37" s="695">
        <v>4</v>
      </c>
      <c r="Q37" s="219">
        <v>19532.100000000002</v>
      </c>
      <c r="R37" s="695">
        <v>4</v>
      </c>
      <c r="S37" s="219">
        <v>156873.15</v>
      </c>
      <c r="T37" s="695">
        <v>4</v>
      </c>
      <c r="U37" s="219">
        <v>79362.150000000009</v>
      </c>
      <c r="V37" s="219">
        <f t="shared" si="0"/>
        <v>2149450.8000000003</v>
      </c>
    </row>
    <row r="38" spans="4:22" x14ac:dyDescent="0.25">
      <c r="D38" s="230">
        <v>33</v>
      </c>
      <c r="E38" s="254" t="s">
        <v>275</v>
      </c>
      <c r="F38" s="695">
        <v>4</v>
      </c>
      <c r="G38" s="219">
        <v>486245.55000000005</v>
      </c>
      <c r="H38" s="695">
        <v>4</v>
      </c>
      <c r="I38" s="219">
        <v>123360.3</v>
      </c>
      <c r="J38" s="695">
        <v>4</v>
      </c>
      <c r="K38" s="219">
        <v>643118.70000000007</v>
      </c>
      <c r="L38" s="695">
        <v>4</v>
      </c>
      <c r="M38" s="219">
        <v>442040.55000000005</v>
      </c>
      <c r="N38" s="695">
        <v>4</v>
      </c>
      <c r="O38" s="219">
        <v>198918.30000000002</v>
      </c>
      <c r="P38" s="695">
        <v>4</v>
      </c>
      <c r="Q38" s="219">
        <v>19532.100000000002</v>
      </c>
      <c r="R38" s="695">
        <v>4</v>
      </c>
      <c r="S38" s="219">
        <v>156873.15</v>
      </c>
      <c r="T38" s="695">
        <v>4</v>
      </c>
      <c r="U38" s="219">
        <v>79362.150000000009</v>
      </c>
      <c r="V38" s="219">
        <f t="shared" si="0"/>
        <v>2149450.8000000003</v>
      </c>
    </row>
    <row r="39" spans="4:22" x14ac:dyDescent="0.25">
      <c r="D39" s="230">
        <v>34</v>
      </c>
      <c r="E39" s="254" t="s">
        <v>296</v>
      </c>
      <c r="F39" s="695">
        <v>4</v>
      </c>
      <c r="G39" s="219">
        <v>486245.55000000005</v>
      </c>
      <c r="H39" s="695">
        <v>4</v>
      </c>
      <c r="I39" s="219">
        <v>123360.3</v>
      </c>
      <c r="J39" s="695">
        <v>4</v>
      </c>
      <c r="K39" s="219">
        <v>643118.70000000007</v>
      </c>
      <c r="L39" s="695">
        <v>4</v>
      </c>
      <c r="M39" s="219">
        <v>442040.55000000005</v>
      </c>
      <c r="N39" s="695">
        <v>4</v>
      </c>
      <c r="O39" s="219">
        <v>198918.30000000002</v>
      </c>
      <c r="P39" s="695">
        <v>4</v>
      </c>
      <c r="Q39" s="219">
        <v>19532.100000000002</v>
      </c>
      <c r="R39" s="695">
        <v>4</v>
      </c>
      <c r="S39" s="219">
        <v>156873.15</v>
      </c>
      <c r="T39" s="695">
        <v>4</v>
      </c>
      <c r="U39" s="219">
        <v>79362.150000000009</v>
      </c>
      <c r="V39" s="219">
        <f t="shared" si="0"/>
        <v>2149450.8000000003</v>
      </c>
    </row>
    <row r="40" spans="4:22" x14ac:dyDescent="0.25">
      <c r="D40" s="230">
        <v>35</v>
      </c>
      <c r="E40" s="254" t="s">
        <v>277</v>
      </c>
      <c r="F40" s="695">
        <v>4</v>
      </c>
      <c r="G40" s="219">
        <v>486245.55000000005</v>
      </c>
      <c r="H40" s="695">
        <v>4</v>
      </c>
      <c r="I40" s="219">
        <v>123360.3</v>
      </c>
      <c r="J40" s="695">
        <v>4</v>
      </c>
      <c r="K40" s="219">
        <v>643118.70000000007</v>
      </c>
      <c r="L40" s="695">
        <v>4</v>
      </c>
      <c r="M40" s="219">
        <v>442040.55000000005</v>
      </c>
      <c r="N40" s="695">
        <v>4</v>
      </c>
      <c r="O40" s="219">
        <v>198918.30000000002</v>
      </c>
      <c r="P40" s="695">
        <v>4</v>
      </c>
      <c r="Q40" s="219">
        <v>19532.100000000002</v>
      </c>
      <c r="R40" s="695">
        <v>4</v>
      </c>
      <c r="S40" s="219">
        <v>156873.15</v>
      </c>
      <c r="T40" s="695">
        <v>4</v>
      </c>
      <c r="U40" s="219">
        <v>79362.150000000009</v>
      </c>
      <c r="V40" s="219">
        <f t="shared" si="0"/>
        <v>2149450.8000000003</v>
      </c>
    </row>
    <row r="41" spans="4:22" x14ac:dyDescent="0.25">
      <c r="D41" s="230">
        <v>36</v>
      </c>
      <c r="E41" s="254" t="s">
        <v>278</v>
      </c>
      <c r="F41" s="695">
        <v>4</v>
      </c>
      <c r="G41" s="219">
        <v>486245.55000000005</v>
      </c>
      <c r="H41" s="695">
        <v>4</v>
      </c>
      <c r="I41" s="219">
        <v>123360.3</v>
      </c>
      <c r="J41" s="695">
        <v>4</v>
      </c>
      <c r="K41" s="219">
        <v>643118.70000000007</v>
      </c>
      <c r="L41" s="695">
        <v>4</v>
      </c>
      <c r="M41" s="219">
        <v>442040.55000000005</v>
      </c>
      <c r="N41" s="695">
        <v>4</v>
      </c>
      <c r="O41" s="219">
        <v>198918.30000000002</v>
      </c>
      <c r="P41" s="695">
        <v>4</v>
      </c>
      <c r="Q41" s="219">
        <v>19532.100000000002</v>
      </c>
      <c r="R41" s="695">
        <v>4</v>
      </c>
      <c r="S41" s="219">
        <v>156873.15</v>
      </c>
      <c r="T41" s="695">
        <v>4</v>
      </c>
      <c r="U41" s="219">
        <v>79362.150000000009</v>
      </c>
      <c r="V41" s="219">
        <f t="shared" si="0"/>
        <v>2149450.8000000003</v>
      </c>
    </row>
    <row r="42" spans="4:22" x14ac:dyDescent="0.25">
      <c r="D42" s="230">
        <v>37</v>
      </c>
      <c r="E42" s="254" t="s">
        <v>280</v>
      </c>
      <c r="F42" s="695"/>
      <c r="G42" s="219">
        <v>486245.55000000005</v>
      </c>
      <c r="H42" s="695"/>
      <c r="I42" s="219">
        <v>123360.3</v>
      </c>
      <c r="J42" s="695"/>
      <c r="K42" s="219">
        <v>643118.70000000007</v>
      </c>
      <c r="L42" s="695"/>
      <c r="M42" s="219">
        <v>442040.55000000005</v>
      </c>
      <c r="N42" s="695"/>
      <c r="O42" s="219">
        <v>198918.30000000002</v>
      </c>
      <c r="P42" s="695"/>
      <c r="Q42" s="219">
        <v>19532.100000000002</v>
      </c>
      <c r="R42" s="695"/>
      <c r="S42" s="219">
        <v>156873.15</v>
      </c>
      <c r="T42" s="695"/>
      <c r="U42" s="219">
        <v>79362.150000000009</v>
      </c>
      <c r="V42" s="219">
        <f t="shared" si="0"/>
        <v>2149450.8000000003</v>
      </c>
    </row>
    <row r="43" spans="4:22" x14ac:dyDescent="0.25">
      <c r="D43" s="967" t="s">
        <v>297</v>
      </c>
      <c r="E43" s="967"/>
      <c r="F43" s="696">
        <f t="shared" ref="F43:V43" si="1">SUM(F6:F42)</f>
        <v>144</v>
      </c>
      <c r="G43" s="745">
        <f t="shared" si="1"/>
        <v>17991085.350000013</v>
      </c>
      <c r="H43" s="696">
        <f t="shared" si="1"/>
        <v>144</v>
      </c>
      <c r="I43" s="745">
        <f t="shared" si="1"/>
        <v>4564331.0999999968</v>
      </c>
      <c r="J43" s="696">
        <f t="shared" si="1"/>
        <v>140</v>
      </c>
      <c r="K43" s="745">
        <f t="shared" si="1"/>
        <v>23795391.899999984</v>
      </c>
      <c r="L43" s="696">
        <f t="shared" si="1"/>
        <v>140</v>
      </c>
      <c r="M43" s="745">
        <f t="shared" si="1"/>
        <v>16355500.350000011</v>
      </c>
      <c r="N43" s="696">
        <f t="shared" si="1"/>
        <v>140</v>
      </c>
      <c r="O43" s="745">
        <f t="shared" si="1"/>
        <v>7359977.0999999959</v>
      </c>
      <c r="P43" s="696">
        <f t="shared" si="1"/>
        <v>140</v>
      </c>
      <c r="Q43" s="745">
        <f t="shared" si="1"/>
        <v>722687.69999999949</v>
      </c>
      <c r="R43" s="697">
        <f t="shared" si="1"/>
        <v>140</v>
      </c>
      <c r="S43" s="745">
        <f t="shared" si="1"/>
        <v>5804306.5500000026</v>
      </c>
      <c r="T43" s="696">
        <f t="shared" si="1"/>
        <v>140</v>
      </c>
      <c r="U43" s="745">
        <f t="shared" si="1"/>
        <v>2936399.549999998</v>
      </c>
      <c r="V43" s="694">
        <f t="shared" si="1"/>
        <v>79529679.599999949</v>
      </c>
    </row>
    <row r="44" spans="4:22" x14ac:dyDescent="0.25">
      <c r="D44" s="699"/>
      <c r="E44" s="248"/>
      <c r="F44" s="698"/>
      <c r="G44" s="698"/>
      <c r="H44" s="698"/>
      <c r="I44" s="698"/>
      <c r="J44" s="698"/>
      <c r="K44" s="698"/>
      <c r="L44" s="698"/>
      <c r="M44" s="698"/>
      <c r="N44" s="698"/>
      <c r="O44" s="698"/>
      <c r="P44" s="698"/>
      <c r="Q44" s="698"/>
      <c r="R44" s="698"/>
      <c r="S44" s="1046" t="s">
        <v>161</v>
      </c>
      <c r="T44" s="1046"/>
      <c r="U44" s="1046"/>
      <c r="V44" s="224">
        <f>SUM(U43+S43+Q43+O43+M43+K43+I43+G43)</f>
        <v>79529679.599999994</v>
      </c>
    </row>
    <row r="45" spans="4:22" x14ac:dyDescent="0.25">
      <c r="D45" s="699"/>
      <c r="E45" s="248"/>
      <c r="F45" s="698"/>
      <c r="G45" s="698"/>
      <c r="H45" s="698"/>
      <c r="I45" s="698"/>
      <c r="J45" s="698"/>
      <c r="K45" s="698"/>
      <c r="L45" s="698"/>
      <c r="M45" s="698"/>
      <c r="N45" s="698"/>
      <c r="O45" s="698"/>
      <c r="P45" s="698"/>
      <c r="Q45" s="698"/>
      <c r="R45" s="698"/>
      <c r="S45" s="1046" t="s">
        <v>666</v>
      </c>
      <c r="T45" s="1046"/>
      <c r="U45" s="1046"/>
      <c r="V45" s="224">
        <f>V44*0.3</f>
        <v>23858903.879999999</v>
      </c>
    </row>
  </sheetData>
  <mergeCells count="15">
    <mergeCell ref="D43:E43"/>
    <mergeCell ref="S44:U44"/>
    <mergeCell ref="S45:U45"/>
    <mergeCell ref="D3:V3"/>
    <mergeCell ref="D4:D5"/>
    <mergeCell ref="E4:E5"/>
    <mergeCell ref="F4:G4"/>
    <mergeCell ref="H4:I4"/>
    <mergeCell ref="J4:K4"/>
    <mergeCell ref="L4:M4"/>
    <mergeCell ref="N4:O4"/>
    <mergeCell ref="P4:Q4"/>
    <mergeCell ref="R4:S4"/>
    <mergeCell ref="T4:U4"/>
    <mergeCell ref="V4:V5"/>
  </mergeCells>
  <pageMargins left="0.7" right="0.7" top="0.75" bottom="0.75" header="0.3" footer="0.3"/>
  <pageSetup paperSize="5" scale="70" orientation="landscape" r:id="rId1"/>
  <headerFooter>
    <oddFooter xml:space="preserve">&amp;C
</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9:P26"/>
  <sheetViews>
    <sheetView view="pageLayout" topLeftCell="A4" zoomScale="80" zoomScalePageLayoutView="80" workbookViewId="0">
      <selection activeCell="B9" sqref="B9:P26"/>
    </sheetView>
  </sheetViews>
  <sheetFormatPr baseColWidth="10" defaultRowHeight="15" x14ac:dyDescent="0.25"/>
  <cols>
    <col min="1" max="1" width="11.42578125" style="113"/>
    <col min="2" max="2" width="7" style="113" customWidth="1"/>
    <col min="3" max="3" width="24.140625" style="113" customWidth="1"/>
    <col min="4" max="16384" width="11.42578125" style="113"/>
  </cols>
  <sheetData>
    <row r="9" spans="2:16" x14ac:dyDescent="0.25">
      <c r="B9" s="1049" t="s">
        <v>313</v>
      </c>
      <c r="C9" s="1049"/>
      <c r="D9" s="1049"/>
      <c r="E9" s="1049"/>
      <c r="F9" s="1049"/>
      <c r="G9" s="1049"/>
      <c r="H9" s="1049"/>
      <c r="I9" s="1049"/>
      <c r="J9" s="1049"/>
      <c r="K9" s="1049"/>
      <c r="L9" s="1049"/>
      <c r="M9" s="1049"/>
      <c r="N9" s="1049"/>
      <c r="O9" s="1049"/>
      <c r="P9" s="1049"/>
    </row>
    <row r="10" spans="2:16" x14ac:dyDescent="0.25">
      <c r="B10" s="1049" t="s">
        <v>1423</v>
      </c>
      <c r="C10" s="1049"/>
      <c r="D10" s="1049"/>
      <c r="E10" s="1049"/>
      <c r="F10" s="1049"/>
      <c r="G10" s="1049"/>
      <c r="H10" s="1049"/>
      <c r="I10" s="1049"/>
      <c r="J10" s="1049"/>
      <c r="K10" s="1049"/>
      <c r="L10" s="1049"/>
      <c r="M10" s="1049"/>
      <c r="N10" s="1049"/>
      <c r="O10" s="1049"/>
      <c r="P10" s="1049"/>
    </row>
    <row r="11" spans="2:16" x14ac:dyDescent="0.25">
      <c r="B11" s="1050" t="s">
        <v>346</v>
      </c>
      <c r="C11" s="1050" t="s">
        <v>287</v>
      </c>
      <c r="D11" s="1048" t="s">
        <v>675</v>
      </c>
      <c r="E11" s="1048" t="s">
        <v>676</v>
      </c>
      <c r="F11" s="1048" t="s">
        <v>677</v>
      </c>
      <c r="G11" s="1048" t="s">
        <v>678</v>
      </c>
      <c r="H11" s="1048" t="s">
        <v>679</v>
      </c>
      <c r="I11" s="1048" t="s">
        <v>680</v>
      </c>
      <c r="J11" s="1048" t="s">
        <v>681</v>
      </c>
      <c r="K11" s="1048" t="s">
        <v>682</v>
      </c>
      <c r="L11" s="1048" t="s">
        <v>683</v>
      </c>
      <c r="M11" s="1048" t="s">
        <v>684</v>
      </c>
      <c r="N11" s="1048" t="s">
        <v>685</v>
      </c>
      <c r="O11" s="1048" t="s">
        <v>510</v>
      </c>
      <c r="P11" s="1053" t="s">
        <v>1460</v>
      </c>
    </row>
    <row r="12" spans="2:16" x14ac:dyDescent="0.25">
      <c r="B12" s="1051"/>
      <c r="C12" s="1051"/>
      <c r="D12" s="1048"/>
      <c r="E12" s="1048"/>
      <c r="F12" s="1048"/>
      <c r="G12" s="1048"/>
      <c r="H12" s="1048"/>
      <c r="I12" s="1048"/>
      <c r="J12" s="1048"/>
      <c r="K12" s="1048"/>
      <c r="L12" s="1048"/>
      <c r="M12" s="1048"/>
      <c r="N12" s="1048"/>
      <c r="O12" s="1048"/>
      <c r="P12" s="1054"/>
    </row>
    <row r="13" spans="2:16" x14ac:dyDescent="0.25">
      <c r="B13" s="1052"/>
      <c r="C13" s="1052"/>
      <c r="D13" s="1048"/>
      <c r="E13" s="1048"/>
      <c r="F13" s="1048"/>
      <c r="G13" s="1048"/>
      <c r="H13" s="1048"/>
      <c r="I13" s="1048"/>
      <c r="J13" s="1048"/>
      <c r="K13" s="1048"/>
      <c r="L13" s="1048"/>
      <c r="M13" s="1048"/>
      <c r="N13" s="1048"/>
      <c r="O13" s="1048"/>
      <c r="P13" s="1055"/>
    </row>
    <row r="14" spans="2:16" x14ac:dyDescent="0.25">
      <c r="B14" s="720">
        <v>1</v>
      </c>
      <c r="C14" s="21" t="s">
        <v>342</v>
      </c>
      <c r="D14" s="84">
        <v>301392</v>
      </c>
      <c r="E14" s="84">
        <v>301392</v>
      </c>
      <c r="F14" s="84">
        <v>75348</v>
      </c>
      <c r="G14" s="84">
        <v>0</v>
      </c>
      <c r="H14" s="84">
        <v>627900</v>
      </c>
      <c r="I14" s="84">
        <v>75348</v>
      </c>
      <c r="J14" s="84">
        <v>376740</v>
      </c>
      <c r="K14" s="84">
        <v>75348</v>
      </c>
      <c r="L14" s="84">
        <v>50232</v>
      </c>
      <c r="M14" s="84">
        <v>753480</v>
      </c>
      <c r="N14" s="84">
        <v>200928</v>
      </c>
      <c r="O14" s="84">
        <v>150696</v>
      </c>
      <c r="P14" s="84">
        <f>SUM(D14:O14)</f>
        <v>2988804</v>
      </c>
    </row>
    <row r="15" spans="2:16" x14ac:dyDescent="0.25">
      <c r="B15" s="720">
        <v>2</v>
      </c>
      <c r="C15" s="21" t="s">
        <v>261</v>
      </c>
      <c r="D15" s="84">
        <v>301392</v>
      </c>
      <c r="E15" s="84">
        <v>301392</v>
      </c>
      <c r="F15" s="84">
        <v>75348</v>
      </c>
      <c r="G15" s="84">
        <v>0</v>
      </c>
      <c r="H15" s="84">
        <v>627900</v>
      </c>
      <c r="I15" s="84">
        <v>75348</v>
      </c>
      <c r="J15" s="84">
        <v>376740</v>
      </c>
      <c r="K15" s="84">
        <v>75348</v>
      </c>
      <c r="L15" s="84">
        <v>50232</v>
      </c>
      <c r="M15" s="84">
        <v>753480</v>
      </c>
      <c r="N15" s="84">
        <v>200928</v>
      </c>
      <c r="O15" s="84">
        <v>150696</v>
      </c>
      <c r="P15" s="84">
        <f t="shared" ref="P15:P23" si="0">SUM(D15:O15)</f>
        <v>2988804</v>
      </c>
    </row>
    <row r="16" spans="2:16" x14ac:dyDescent="0.25">
      <c r="B16" s="720">
        <v>3</v>
      </c>
      <c r="C16" s="21" t="s">
        <v>265</v>
      </c>
      <c r="D16" s="84">
        <v>602784</v>
      </c>
      <c r="E16" s="84">
        <v>301392</v>
      </c>
      <c r="F16" s="84">
        <v>75348</v>
      </c>
      <c r="G16" s="84">
        <v>0</v>
      </c>
      <c r="H16" s="84">
        <v>0</v>
      </c>
      <c r="I16" s="84">
        <v>75348</v>
      </c>
      <c r="J16" s="84">
        <v>376740</v>
      </c>
      <c r="K16" s="84">
        <v>75348</v>
      </c>
      <c r="L16" s="84">
        <v>50232</v>
      </c>
      <c r="M16" s="84">
        <v>753480</v>
      </c>
      <c r="N16" s="84">
        <v>200928</v>
      </c>
      <c r="O16" s="84">
        <v>150696</v>
      </c>
      <c r="P16" s="84">
        <f t="shared" si="0"/>
        <v>2662296</v>
      </c>
    </row>
    <row r="17" spans="2:16" x14ac:dyDescent="0.25">
      <c r="B17" s="720">
        <v>4</v>
      </c>
      <c r="C17" s="21" t="s">
        <v>268</v>
      </c>
      <c r="D17" s="84">
        <v>602784</v>
      </c>
      <c r="E17" s="84">
        <v>301392</v>
      </c>
      <c r="F17" s="84">
        <v>75348</v>
      </c>
      <c r="G17" s="84">
        <v>753480</v>
      </c>
      <c r="H17" s="84">
        <v>0</v>
      </c>
      <c r="I17" s="84">
        <v>75348</v>
      </c>
      <c r="J17" s="84">
        <v>376740</v>
      </c>
      <c r="K17" s="84">
        <v>75348</v>
      </c>
      <c r="L17" s="84">
        <v>50232</v>
      </c>
      <c r="M17" s="84">
        <v>753480</v>
      </c>
      <c r="N17" s="84">
        <v>200928</v>
      </c>
      <c r="O17" s="84">
        <v>150696</v>
      </c>
      <c r="P17" s="84">
        <f t="shared" si="0"/>
        <v>3415776</v>
      </c>
    </row>
    <row r="18" spans="2:16" x14ac:dyDescent="0.25">
      <c r="B18" s="720">
        <v>5</v>
      </c>
      <c r="C18" s="21" t="s">
        <v>271</v>
      </c>
      <c r="D18" s="84">
        <v>602784</v>
      </c>
      <c r="E18" s="84">
        <v>301392</v>
      </c>
      <c r="F18" s="84">
        <v>75348</v>
      </c>
      <c r="G18" s="84">
        <v>753480</v>
      </c>
      <c r="H18" s="84">
        <v>0</v>
      </c>
      <c r="I18" s="84">
        <v>75348</v>
      </c>
      <c r="J18" s="84">
        <v>376740</v>
      </c>
      <c r="K18" s="84">
        <v>75348</v>
      </c>
      <c r="L18" s="84">
        <v>50232</v>
      </c>
      <c r="M18" s="84">
        <v>753480</v>
      </c>
      <c r="N18" s="84">
        <v>200928</v>
      </c>
      <c r="O18" s="84">
        <v>150696</v>
      </c>
      <c r="P18" s="84">
        <f t="shared" si="0"/>
        <v>3415776</v>
      </c>
    </row>
    <row r="19" spans="2:16" x14ac:dyDescent="0.25">
      <c r="B19" s="720">
        <v>6</v>
      </c>
      <c r="C19" s="21" t="s">
        <v>296</v>
      </c>
      <c r="D19" s="84">
        <v>602784</v>
      </c>
      <c r="E19" s="84">
        <v>301392</v>
      </c>
      <c r="F19" s="84">
        <v>75348</v>
      </c>
      <c r="G19" s="84">
        <v>0</v>
      </c>
      <c r="H19" s="84">
        <v>0</v>
      </c>
      <c r="I19" s="84">
        <v>75348</v>
      </c>
      <c r="J19" s="84">
        <v>376740</v>
      </c>
      <c r="K19" s="84">
        <v>75348</v>
      </c>
      <c r="L19" s="84">
        <v>50232</v>
      </c>
      <c r="M19" s="84">
        <v>753480</v>
      </c>
      <c r="N19" s="84">
        <v>200928</v>
      </c>
      <c r="O19" s="84">
        <v>150696</v>
      </c>
      <c r="P19" s="84">
        <f t="shared" si="0"/>
        <v>2662296</v>
      </c>
    </row>
    <row r="20" spans="2:16" x14ac:dyDescent="0.25">
      <c r="B20" s="720">
        <v>7</v>
      </c>
      <c r="C20" s="21" t="s">
        <v>277</v>
      </c>
      <c r="D20" s="84">
        <v>602784</v>
      </c>
      <c r="E20" s="84">
        <v>301392</v>
      </c>
      <c r="F20" s="84">
        <v>75348</v>
      </c>
      <c r="G20" s="84">
        <v>0</v>
      </c>
      <c r="H20" s="84">
        <v>0</v>
      </c>
      <c r="I20" s="84">
        <v>75348</v>
      </c>
      <c r="J20" s="84">
        <v>376740</v>
      </c>
      <c r="K20" s="84">
        <v>75348</v>
      </c>
      <c r="L20" s="84">
        <v>50232</v>
      </c>
      <c r="M20" s="84">
        <v>753480</v>
      </c>
      <c r="N20" s="84">
        <v>200928</v>
      </c>
      <c r="O20" s="84">
        <v>150696</v>
      </c>
      <c r="P20" s="84">
        <f t="shared" si="0"/>
        <v>2662296</v>
      </c>
    </row>
    <row r="21" spans="2:16" x14ac:dyDescent="0.25">
      <c r="B21" s="720">
        <v>8</v>
      </c>
      <c r="C21" s="21" t="s">
        <v>686</v>
      </c>
      <c r="D21" s="84">
        <v>602784</v>
      </c>
      <c r="E21" s="84">
        <v>301392</v>
      </c>
      <c r="F21" s="84">
        <v>75348</v>
      </c>
      <c r="G21" s="84">
        <v>753480</v>
      </c>
      <c r="H21" s="84">
        <v>0</v>
      </c>
      <c r="I21" s="84">
        <v>75348</v>
      </c>
      <c r="J21" s="84">
        <v>376740</v>
      </c>
      <c r="K21" s="84">
        <v>75348</v>
      </c>
      <c r="L21" s="84">
        <v>50232</v>
      </c>
      <c r="M21" s="84">
        <v>753480</v>
      </c>
      <c r="N21" s="84">
        <v>200928</v>
      </c>
      <c r="O21" s="84">
        <v>150696</v>
      </c>
      <c r="P21" s="84">
        <f t="shared" si="0"/>
        <v>3415776</v>
      </c>
    </row>
    <row r="22" spans="2:16" x14ac:dyDescent="0.25">
      <c r="B22" s="720">
        <v>9</v>
      </c>
      <c r="C22" s="21" t="s">
        <v>278</v>
      </c>
      <c r="D22" s="84">
        <v>602784</v>
      </c>
      <c r="E22" s="84">
        <v>301392</v>
      </c>
      <c r="F22" s="84">
        <v>75348</v>
      </c>
      <c r="G22" s="84">
        <v>0</v>
      </c>
      <c r="H22" s="84">
        <v>0</v>
      </c>
      <c r="I22" s="84">
        <v>75348</v>
      </c>
      <c r="J22" s="84">
        <v>376740</v>
      </c>
      <c r="K22" s="84">
        <v>75348</v>
      </c>
      <c r="L22" s="84">
        <v>50232</v>
      </c>
      <c r="M22" s="84">
        <v>753480</v>
      </c>
      <c r="N22" s="84">
        <v>200928</v>
      </c>
      <c r="O22" s="84">
        <v>150696</v>
      </c>
      <c r="P22" s="84">
        <f t="shared" si="0"/>
        <v>2662296</v>
      </c>
    </row>
    <row r="23" spans="2:16" x14ac:dyDescent="0.25">
      <c r="B23" s="720">
        <v>10</v>
      </c>
      <c r="C23" s="21" t="s">
        <v>513</v>
      </c>
      <c r="D23" s="84">
        <v>301392</v>
      </c>
      <c r="E23" s="84">
        <v>0</v>
      </c>
      <c r="F23" s="84">
        <v>0</v>
      </c>
      <c r="G23" s="84">
        <v>0</v>
      </c>
      <c r="H23" s="84">
        <v>0</v>
      </c>
      <c r="I23" s="84">
        <v>0</v>
      </c>
      <c r="J23" s="84">
        <v>0</v>
      </c>
      <c r="K23" s="84">
        <v>0</v>
      </c>
      <c r="L23" s="84">
        <v>0</v>
      </c>
      <c r="M23" s="718">
        <v>0</v>
      </c>
      <c r="N23" s="84">
        <v>0</v>
      </c>
      <c r="O23" s="84">
        <v>0</v>
      </c>
      <c r="P23" s="84">
        <f t="shared" si="0"/>
        <v>301392</v>
      </c>
    </row>
    <row r="24" spans="2:16" x14ac:dyDescent="0.25">
      <c r="B24" s="720"/>
      <c r="C24" s="719" t="s">
        <v>297</v>
      </c>
      <c r="D24" s="86">
        <f>SUM(D14:D23)</f>
        <v>5123664</v>
      </c>
      <c r="E24" s="86">
        <f t="shared" ref="E24:O24" si="1">SUM(E14:E23)</f>
        <v>2712528</v>
      </c>
      <c r="F24" s="86">
        <f t="shared" si="1"/>
        <v>678132</v>
      </c>
      <c r="G24" s="86">
        <f t="shared" si="1"/>
        <v>2260440</v>
      </c>
      <c r="H24" s="86">
        <f t="shared" si="1"/>
        <v>1255800</v>
      </c>
      <c r="I24" s="86">
        <f t="shared" si="1"/>
        <v>678132</v>
      </c>
      <c r="J24" s="86">
        <f t="shared" si="1"/>
        <v>3390660</v>
      </c>
      <c r="K24" s="86">
        <f t="shared" si="1"/>
        <v>678132</v>
      </c>
      <c r="L24" s="86">
        <f t="shared" si="1"/>
        <v>452088</v>
      </c>
      <c r="M24" s="85">
        <f t="shared" si="1"/>
        <v>6781320</v>
      </c>
      <c r="N24" s="86">
        <f t="shared" si="1"/>
        <v>1808352</v>
      </c>
      <c r="O24" s="86">
        <f t="shared" si="1"/>
        <v>1356264</v>
      </c>
      <c r="P24" s="86">
        <f>SUM(P14:P23)</f>
        <v>27175512</v>
      </c>
    </row>
    <row r="25" spans="2:16" x14ac:dyDescent="0.25">
      <c r="B25" s="2"/>
      <c r="C25" s="2"/>
      <c r="D25" s="80"/>
      <c r="E25" s="80"/>
      <c r="F25" s="80"/>
      <c r="G25" s="80"/>
      <c r="H25" s="80"/>
      <c r="I25" s="80"/>
      <c r="J25" s="80"/>
      <c r="K25" s="80"/>
      <c r="L25" s="80"/>
      <c r="M25" s="80"/>
      <c r="N25" s="1047" t="s">
        <v>161</v>
      </c>
      <c r="O25" s="1047"/>
      <c r="P25" s="86">
        <f>SUM(D24:O24)</f>
        <v>27175512</v>
      </c>
    </row>
    <row r="26" spans="2:16" x14ac:dyDescent="0.25">
      <c r="B26" s="2"/>
      <c r="C26" s="2"/>
      <c r="D26" s="80"/>
      <c r="E26" s="80"/>
      <c r="F26" s="80"/>
      <c r="G26" s="80"/>
      <c r="H26" s="80"/>
      <c r="I26" s="80"/>
      <c r="J26" s="80"/>
      <c r="K26" s="80"/>
      <c r="L26" s="80"/>
      <c r="M26" s="80"/>
      <c r="N26" s="1047" t="s">
        <v>666</v>
      </c>
      <c r="O26" s="1047"/>
      <c r="P26" s="86">
        <f>P25*0.3</f>
        <v>8152653.5999999996</v>
      </c>
    </row>
  </sheetData>
  <mergeCells count="19">
    <mergeCell ref="B9:P9"/>
    <mergeCell ref="B10:P10"/>
    <mergeCell ref="B11:B13"/>
    <mergeCell ref="C11:C13"/>
    <mergeCell ref="D11:D13"/>
    <mergeCell ref="E11:E13"/>
    <mergeCell ref="F11:F13"/>
    <mergeCell ref="G11:G13"/>
    <mergeCell ref="H11:H13"/>
    <mergeCell ref="I11:I13"/>
    <mergeCell ref="P11:P13"/>
    <mergeCell ref="N25:O25"/>
    <mergeCell ref="N26:O26"/>
    <mergeCell ref="J11:J13"/>
    <mergeCell ref="K11:K13"/>
    <mergeCell ref="L11:L13"/>
    <mergeCell ref="M11:M13"/>
    <mergeCell ref="N11:N13"/>
    <mergeCell ref="O11:O13"/>
  </mergeCells>
  <pageMargins left="0.7" right="0.7" top="0.75" bottom="0.75" header="0.3" footer="0.3"/>
  <pageSetup paperSize="5" scale="8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7:L20"/>
  <sheetViews>
    <sheetView view="pageLayout" topLeftCell="A4" workbookViewId="0">
      <selection activeCell="B7" sqref="B7:L20"/>
    </sheetView>
  </sheetViews>
  <sheetFormatPr baseColWidth="10" defaultRowHeight="15" x14ac:dyDescent="0.25"/>
  <cols>
    <col min="1" max="1" width="11.42578125" style="113"/>
    <col min="2" max="2" width="3.42578125" style="113" bestFit="1" customWidth="1"/>
    <col min="3" max="3" width="22.42578125" style="113" customWidth="1"/>
    <col min="4" max="4" width="9" style="113" bestFit="1" customWidth="1"/>
    <col min="5" max="5" width="11.140625" style="113" customWidth="1"/>
    <col min="6" max="6" width="11.85546875" style="113" bestFit="1" customWidth="1"/>
    <col min="7" max="7" width="10.140625" style="113" customWidth="1"/>
    <col min="8" max="8" width="9.7109375" style="113" customWidth="1"/>
    <col min="9" max="9" width="8.85546875" style="113" customWidth="1"/>
    <col min="10" max="10" width="11.28515625" style="113" customWidth="1"/>
    <col min="11" max="11" width="16.28515625" style="113" customWidth="1"/>
    <col min="12" max="12" width="11.140625" style="113" customWidth="1"/>
    <col min="13" max="16384" width="11.42578125" style="113"/>
  </cols>
  <sheetData>
    <row r="7" spans="2:12" x14ac:dyDescent="0.25">
      <c r="B7" s="934" t="s">
        <v>687</v>
      </c>
      <c r="C7" s="948"/>
      <c r="D7" s="948"/>
      <c r="E7" s="948"/>
      <c r="F7" s="948"/>
      <c r="G7" s="948"/>
      <c r="H7" s="948"/>
      <c r="I7" s="948"/>
      <c r="J7" s="948"/>
      <c r="K7" s="948"/>
      <c r="L7" s="935"/>
    </row>
    <row r="8" spans="2:12" x14ac:dyDescent="0.25">
      <c r="B8" s="944" t="s">
        <v>1424</v>
      </c>
      <c r="C8" s="944"/>
      <c r="D8" s="944"/>
      <c r="E8" s="944"/>
      <c r="F8" s="944"/>
      <c r="G8" s="944"/>
      <c r="H8" s="944"/>
      <c r="I8" s="944"/>
      <c r="J8" s="944"/>
      <c r="K8" s="944"/>
      <c r="L8" s="944"/>
    </row>
    <row r="9" spans="2:12" x14ac:dyDescent="0.25">
      <c r="B9" s="967" t="s">
        <v>305</v>
      </c>
      <c r="C9" s="967" t="s">
        <v>287</v>
      </c>
      <c r="D9" s="1056" t="s">
        <v>694</v>
      </c>
      <c r="E9" s="1056" t="s">
        <v>688</v>
      </c>
      <c r="F9" s="1056" t="s">
        <v>483</v>
      </c>
      <c r="G9" s="1056" t="s">
        <v>476</v>
      </c>
      <c r="H9" s="1056" t="s">
        <v>689</v>
      </c>
      <c r="I9" s="1056" t="s">
        <v>690</v>
      </c>
      <c r="J9" s="1056" t="s">
        <v>691</v>
      </c>
      <c r="K9" s="1056" t="s">
        <v>692</v>
      </c>
      <c r="L9" s="740" t="s">
        <v>454</v>
      </c>
    </row>
    <row r="10" spans="2:12" x14ac:dyDescent="0.25">
      <c r="B10" s="967"/>
      <c r="C10" s="967"/>
      <c r="D10" s="1056"/>
      <c r="E10" s="1056"/>
      <c r="F10" s="1056"/>
      <c r="G10" s="1056"/>
      <c r="H10" s="1056"/>
      <c r="I10" s="1056"/>
      <c r="J10" s="1056"/>
      <c r="K10" s="1056"/>
      <c r="L10" s="967" t="s">
        <v>582</v>
      </c>
    </row>
    <row r="11" spans="2:12" x14ac:dyDescent="0.25">
      <c r="B11" s="967"/>
      <c r="C11" s="967"/>
      <c r="D11" s="1056"/>
      <c r="E11" s="1056"/>
      <c r="F11" s="1056"/>
      <c r="G11" s="1056"/>
      <c r="H11" s="1056"/>
      <c r="I11" s="1056"/>
      <c r="J11" s="1056"/>
      <c r="K11" s="1056"/>
      <c r="L11" s="967"/>
    </row>
    <row r="12" spans="2:12" x14ac:dyDescent="0.25">
      <c r="B12" s="244">
        <v>1</v>
      </c>
      <c r="C12" s="254" t="s">
        <v>342</v>
      </c>
      <c r="D12" s="745">
        <v>0</v>
      </c>
      <c r="E12" s="745">
        <v>0</v>
      </c>
      <c r="F12" s="563">
        <v>1088359.6500000001</v>
      </c>
      <c r="G12" s="745">
        <v>0</v>
      </c>
      <c r="H12" s="563">
        <v>326507.65000000002</v>
      </c>
      <c r="I12" s="745">
        <v>0</v>
      </c>
      <c r="J12" s="745">
        <v>0</v>
      </c>
      <c r="K12" s="745">
        <v>0</v>
      </c>
      <c r="L12" s="219">
        <f t="shared" ref="L12:L17" si="0">SUM(D12:K12)</f>
        <v>1414867.3000000003</v>
      </c>
    </row>
    <row r="13" spans="2:12" x14ac:dyDescent="0.25">
      <c r="B13" s="244">
        <v>2</v>
      </c>
      <c r="C13" s="254" t="s">
        <v>357</v>
      </c>
      <c r="D13" s="745">
        <v>0</v>
      </c>
      <c r="E13" s="745">
        <v>0</v>
      </c>
      <c r="F13" s="563">
        <v>1088359.6500000001</v>
      </c>
      <c r="G13" s="745">
        <v>0</v>
      </c>
      <c r="H13" s="563">
        <v>326507.65000000002</v>
      </c>
      <c r="I13" s="745">
        <v>0</v>
      </c>
      <c r="J13" s="745">
        <v>0</v>
      </c>
      <c r="K13" s="745">
        <v>0</v>
      </c>
      <c r="L13" s="219">
        <f t="shared" si="0"/>
        <v>1414867.3000000003</v>
      </c>
    </row>
    <row r="14" spans="2:12" x14ac:dyDescent="0.25">
      <c r="B14" s="244">
        <v>3</v>
      </c>
      <c r="C14" s="254" t="s">
        <v>278</v>
      </c>
      <c r="D14" s="563">
        <v>163254</v>
      </c>
      <c r="E14" s="563">
        <v>272090</v>
      </c>
      <c r="F14" s="563">
        <v>1088359.6500000001</v>
      </c>
      <c r="G14" s="563">
        <v>217672</v>
      </c>
      <c r="H14" s="563">
        <v>326507.65000000002</v>
      </c>
      <c r="I14" s="563">
        <v>599508</v>
      </c>
      <c r="J14" s="563">
        <v>224815.5</v>
      </c>
      <c r="K14" s="563">
        <v>337223.25</v>
      </c>
      <c r="L14" s="219">
        <f t="shared" si="0"/>
        <v>3229430.0500000003</v>
      </c>
    </row>
    <row r="15" spans="2:12" x14ac:dyDescent="0.25">
      <c r="B15" s="244">
        <v>4</v>
      </c>
      <c r="C15" s="254" t="s">
        <v>276</v>
      </c>
      <c r="D15" s="563">
        <v>0</v>
      </c>
      <c r="E15" s="563">
        <v>0</v>
      </c>
      <c r="F15" s="563">
        <v>1088359.6500000001</v>
      </c>
      <c r="G15" s="563">
        <v>0</v>
      </c>
      <c r="H15" s="563">
        <v>326507.65000000002</v>
      </c>
      <c r="I15" s="563">
        <v>0</v>
      </c>
      <c r="J15" s="563">
        <v>224815.5</v>
      </c>
      <c r="K15" s="563">
        <v>0</v>
      </c>
      <c r="L15" s="281">
        <f t="shared" si="0"/>
        <v>1639682.8000000003</v>
      </c>
    </row>
    <row r="16" spans="2:12" x14ac:dyDescent="0.25">
      <c r="B16" s="244">
        <v>5</v>
      </c>
      <c r="C16" s="254" t="s">
        <v>265</v>
      </c>
      <c r="D16" s="563">
        <v>0</v>
      </c>
      <c r="E16" s="563">
        <v>0</v>
      </c>
      <c r="F16" s="563">
        <v>1088359.6500000001</v>
      </c>
      <c r="G16" s="563">
        <v>0</v>
      </c>
      <c r="H16" s="563">
        <v>326507.65000000002</v>
      </c>
      <c r="I16" s="563">
        <v>599508</v>
      </c>
      <c r="J16" s="563">
        <v>224815.5</v>
      </c>
      <c r="K16" s="563">
        <v>0</v>
      </c>
      <c r="L16" s="219">
        <f t="shared" si="0"/>
        <v>2239190.8000000003</v>
      </c>
    </row>
    <row r="17" spans="2:12" x14ac:dyDescent="0.25">
      <c r="B17" s="244">
        <v>6</v>
      </c>
      <c r="C17" s="254" t="s">
        <v>693</v>
      </c>
      <c r="D17" s="563">
        <v>0</v>
      </c>
      <c r="E17" s="563">
        <v>0</v>
      </c>
      <c r="F17" s="563">
        <v>1088359.6500000001</v>
      </c>
      <c r="G17" s="563">
        <v>0</v>
      </c>
      <c r="H17" s="563">
        <v>326507.65000000002</v>
      </c>
      <c r="I17" s="563">
        <v>599508</v>
      </c>
      <c r="J17" s="563">
        <v>224815.5</v>
      </c>
      <c r="K17" s="563">
        <v>0</v>
      </c>
      <c r="L17" s="219">
        <f t="shared" si="0"/>
        <v>2239190.8000000003</v>
      </c>
    </row>
    <row r="18" spans="2:12" x14ac:dyDescent="0.25">
      <c r="B18" s="280"/>
      <c r="C18" s="279" t="s">
        <v>297</v>
      </c>
      <c r="D18" s="224">
        <f t="shared" ref="D18:L18" si="1">SUM(D12:D17)</f>
        <v>163254</v>
      </c>
      <c r="E18" s="224">
        <f t="shared" si="1"/>
        <v>272090</v>
      </c>
      <c r="F18" s="224">
        <f t="shared" si="1"/>
        <v>6530157.9000000013</v>
      </c>
      <c r="G18" s="224">
        <f t="shared" si="1"/>
        <v>217672</v>
      </c>
      <c r="H18" s="224">
        <f t="shared" si="1"/>
        <v>1959045.9</v>
      </c>
      <c r="I18" s="224">
        <f t="shared" si="1"/>
        <v>1798524</v>
      </c>
      <c r="J18" s="233">
        <f t="shared" si="1"/>
        <v>899262</v>
      </c>
      <c r="K18" s="224">
        <f t="shared" si="1"/>
        <v>337223.25</v>
      </c>
      <c r="L18" s="224">
        <f t="shared" si="1"/>
        <v>12177229.050000003</v>
      </c>
    </row>
    <row r="19" spans="2:12" x14ac:dyDescent="0.25">
      <c r="B19" s="722"/>
      <c r="C19" s="722"/>
      <c r="D19" s="723"/>
      <c r="E19" s="723"/>
      <c r="F19" s="723"/>
      <c r="G19" s="723"/>
      <c r="H19" s="723"/>
      <c r="I19" s="723"/>
      <c r="J19" s="723"/>
      <c r="K19" s="735" t="s">
        <v>161</v>
      </c>
      <c r="L19" s="224">
        <f>SUM(D18:K18)</f>
        <v>12177229.050000001</v>
      </c>
    </row>
    <row r="20" spans="2:12" x14ac:dyDescent="0.25">
      <c r="B20" s="722"/>
      <c r="C20" s="722"/>
      <c r="D20" s="723"/>
      <c r="E20" s="723"/>
      <c r="F20" s="723"/>
      <c r="G20" s="723"/>
      <c r="H20" s="723"/>
      <c r="I20" s="723"/>
      <c r="J20" s="723"/>
      <c r="K20" s="735" t="s">
        <v>666</v>
      </c>
      <c r="L20" s="224">
        <f>L19*0.3</f>
        <v>3653168.7150000003</v>
      </c>
    </row>
  </sheetData>
  <mergeCells count="13">
    <mergeCell ref="J9:J11"/>
    <mergeCell ref="K9:K11"/>
    <mergeCell ref="L10:L11"/>
    <mergeCell ref="B7:L7"/>
    <mergeCell ref="B8:L8"/>
    <mergeCell ref="B9:B11"/>
    <mergeCell ref="C9:C11"/>
    <mergeCell ref="D9:D11"/>
    <mergeCell ref="E9:E11"/>
    <mergeCell ref="F9:F11"/>
    <mergeCell ref="G9:G11"/>
    <mergeCell ref="H9:H11"/>
    <mergeCell ref="I9:I11"/>
  </mergeCells>
  <pageMargins left="0.7" right="0.7" top="0.75" bottom="0.75" header="0.3" footer="0.3"/>
  <pageSetup paperSize="5" orientation="landscape" r:id="rId1"/>
  <headerFooter>
    <oddFooter xml:space="preserve">&amp;C
</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7:F19"/>
  <sheetViews>
    <sheetView view="pageLayout" workbookViewId="0">
      <selection activeCell="A7" sqref="A7:F18"/>
    </sheetView>
  </sheetViews>
  <sheetFormatPr baseColWidth="10" defaultRowHeight="12" x14ac:dyDescent="0.2"/>
  <cols>
    <col min="1" max="1" width="7.5703125" style="724" customWidth="1"/>
    <col min="2" max="2" width="24.7109375" style="158" customWidth="1"/>
    <col min="3" max="3" width="13" style="158" bestFit="1" customWidth="1"/>
    <col min="4" max="4" width="15" style="158" customWidth="1"/>
    <col min="5" max="5" width="15.42578125" style="158" bestFit="1" customWidth="1"/>
    <col min="6" max="6" width="22.28515625" style="158" customWidth="1"/>
    <col min="7" max="16384" width="11.42578125" style="158"/>
  </cols>
  <sheetData>
    <row r="7" spans="1:6" x14ac:dyDescent="0.2">
      <c r="A7" s="944" t="s">
        <v>687</v>
      </c>
      <c r="B7" s="944"/>
      <c r="C7" s="944"/>
      <c r="D7" s="944"/>
      <c r="E7" s="944"/>
      <c r="F7" s="944"/>
    </row>
    <row r="8" spans="1:6" ht="29.25" customHeight="1" x14ac:dyDescent="0.2">
      <c r="A8" s="945" t="s">
        <v>1425</v>
      </c>
      <c r="B8" s="946"/>
      <c r="C8" s="946"/>
      <c r="D8" s="946"/>
      <c r="E8" s="946"/>
      <c r="F8" s="947"/>
    </row>
    <row r="9" spans="1:6" x14ac:dyDescent="0.2">
      <c r="A9" s="942" t="s">
        <v>346</v>
      </c>
      <c r="B9" s="1044" t="s">
        <v>287</v>
      </c>
      <c r="C9" s="967" t="s">
        <v>695</v>
      </c>
      <c r="D9" s="967" t="s">
        <v>509</v>
      </c>
      <c r="E9" s="967" t="s">
        <v>696</v>
      </c>
      <c r="F9" s="942" t="s">
        <v>1460</v>
      </c>
    </row>
    <row r="10" spans="1:6" x14ac:dyDescent="0.2">
      <c r="A10" s="1057"/>
      <c r="B10" s="1058"/>
      <c r="C10" s="967"/>
      <c r="D10" s="967"/>
      <c r="E10" s="967"/>
      <c r="F10" s="1057"/>
    </row>
    <row r="11" spans="1:6" x14ac:dyDescent="0.2">
      <c r="A11" s="943"/>
      <c r="B11" s="1045"/>
      <c r="C11" s="967"/>
      <c r="D11" s="967"/>
      <c r="E11" s="967"/>
      <c r="F11" s="943"/>
    </row>
    <row r="12" spans="1:6" x14ac:dyDescent="0.2">
      <c r="A12" s="230">
        <v>1</v>
      </c>
      <c r="B12" s="254" t="s">
        <v>265</v>
      </c>
      <c r="C12" s="219">
        <v>0</v>
      </c>
      <c r="D12" s="219">
        <v>2600000</v>
      </c>
      <c r="E12" s="219">
        <v>0</v>
      </c>
      <c r="F12" s="219">
        <f>SUM(C12:E12)</f>
        <v>2600000</v>
      </c>
    </row>
    <row r="13" spans="1:6" x14ac:dyDescent="0.2">
      <c r="A13" s="230">
        <v>2</v>
      </c>
      <c r="B13" s="254" t="s">
        <v>296</v>
      </c>
      <c r="C13" s="219">
        <v>0</v>
      </c>
      <c r="D13" s="219">
        <v>2600000</v>
      </c>
      <c r="E13" s="219">
        <v>4680000</v>
      </c>
      <c r="F13" s="219">
        <f>SUM(C13:E13)</f>
        <v>7280000</v>
      </c>
    </row>
    <row r="14" spans="1:6" x14ac:dyDescent="0.2">
      <c r="A14" s="230">
        <v>3</v>
      </c>
      <c r="B14" s="254" t="s">
        <v>277</v>
      </c>
      <c r="C14" s="219">
        <v>0</v>
      </c>
      <c r="D14" s="219">
        <v>0</v>
      </c>
      <c r="E14" s="219">
        <v>0</v>
      </c>
      <c r="F14" s="219">
        <v>0</v>
      </c>
    </row>
    <row r="15" spans="1:6" x14ac:dyDescent="0.2">
      <c r="A15" s="230">
        <v>4</v>
      </c>
      <c r="B15" s="254" t="s">
        <v>278</v>
      </c>
      <c r="C15" s="219">
        <v>3120000</v>
      </c>
      <c r="D15" s="219">
        <v>0</v>
      </c>
      <c r="E15" s="219">
        <v>4680000</v>
      </c>
      <c r="F15" s="219">
        <f>SUM(C15:E15)</f>
        <v>7800000</v>
      </c>
    </row>
    <row r="16" spans="1:6" x14ac:dyDescent="0.2">
      <c r="A16" s="967" t="s">
        <v>297</v>
      </c>
      <c r="B16" s="967"/>
      <c r="C16" s="219">
        <f>SUM(C12:C15)</f>
        <v>3120000</v>
      </c>
      <c r="D16" s="233">
        <f>SUM(D12:D15)</f>
        <v>5200000</v>
      </c>
      <c r="E16" s="224">
        <f>SUM(E12:E15)</f>
        <v>9360000</v>
      </c>
      <c r="F16" s="224">
        <f>SUM(C16:E16)</f>
        <v>17680000</v>
      </c>
    </row>
    <row r="17" spans="1:6" x14ac:dyDescent="0.2">
      <c r="A17" s="725"/>
      <c r="B17" s="722"/>
      <c r="C17" s="723"/>
      <c r="D17" s="723"/>
      <c r="E17" s="735" t="s">
        <v>161</v>
      </c>
      <c r="F17" s="224">
        <f>SUM(C16:E16)</f>
        <v>17680000</v>
      </c>
    </row>
    <row r="18" spans="1:6" x14ac:dyDescent="0.2">
      <c r="A18" s="725"/>
      <c r="B18" s="722"/>
      <c r="C18" s="723"/>
      <c r="D18" s="723"/>
      <c r="E18" s="735" t="s">
        <v>666</v>
      </c>
      <c r="F18" s="224">
        <f>F17*0.3</f>
        <v>5304000</v>
      </c>
    </row>
    <row r="19" spans="1:6" x14ac:dyDescent="0.2">
      <c r="A19" s="236"/>
      <c r="B19" s="159"/>
      <c r="C19" s="159"/>
      <c r="D19" s="159"/>
      <c r="E19" s="159"/>
      <c r="F19" s="159"/>
    </row>
  </sheetData>
  <mergeCells count="9">
    <mergeCell ref="A16:B16"/>
    <mergeCell ref="A7:F7"/>
    <mergeCell ref="A8:F8"/>
    <mergeCell ref="A9:A11"/>
    <mergeCell ref="B9:B11"/>
    <mergeCell ref="C9:C11"/>
    <mergeCell ref="D9:D11"/>
    <mergeCell ref="E9:E11"/>
    <mergeCell ref="F9:F11"/>
  </mergeCells>
  <printOptions horizontalCentered="1"/>
  <pageMargins left="0.7" right="0.7" top="0.75" bottom="0.75" header="0.3" footer="0.3"/>
  <pageSetup paperSize="5"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5:G24"/>
  <sheetViews>
    <sheetView view="pageLayout" topLeftCell="A2" workbookViewId="0">
      <selection activeCell="B5" sqref="B5:G17"/>
    </sheetView>
  </sheetViews>
  <sheetFormatPr baseColWidth="10" defaultRowHeight="15" x14ac:dyDescent="0.25"/>
  <cols>
    <col min="1" max="1" width="11.42578125" style="113"/>
    <col min="2" max="2" width="11.42578125" style="262"/>
    <col min="3" max="3" width="33.7109375" style="113" customWidth="1"/>
    <col min="4" max="4" width="13.7109375" style="113" bestFit="1" customWidth="1"/>
    <col min="5" max="5" width="14.28515625" style="113" bestFit="1" customWidth="1"/>
    <col min="6" max="6" width="17.85546875" style="113" bestFit="1" customWidth="1"/>
    <col min="7" max="7" width="13" style="113" bestFit="1" customWidth="1"/>
    <col min="8" max="16384" width="11.42578125" style="113"/>
  </cols>
  <sheetData>
    <row r="5" spans="2:7" x14ac:dyDescent="0.25">
      <c r="B5" s="1049" t="s">
        <v>687</v>
      </c>
      <c r="C5" s="1049"/>
      <c r="D5" s="1049"/>
      <c r="E5" s="1049"/>
      <c r="F5" s="1049"/>
      <c r="G5" s="1049"/>
    </row>
    <row r="6" spans="2:7" x14ac:dyDescent="0.25">
      <c r="B6" s="1049" t="s">
        <v>1426</v>
      </c>
      <c r="C6" s="1049"/>
      <c r="D6" s="1049"/>
      <c r="E6" s="1049"/>
      <c r="F6" s="1049"/>
      <c r="G6" s="1049"/>
    </row>
    <row r="7" spans="2:7" x14ac:dyDescent="0.25">
      <c r="B7" s="1059" t="s">
        <v>346</v>
      </c>
      <c r="C7" s="1059" t="s">
        <v>287</v>
      </c>
      <c r="D7" s="1061" t="s">
        <v>697</v>
      </c>
      <c r="E7" s="1061" t="s">
        <v>698</v>
      </c>
      <c r="F7" s="1061" t="s">
        <v>699</v>
      </c>
      <c r="G7" s="1061" t="s">
        <v>180</v>
      </c>
    </row>
    <row r="8" spans="2:7" x14ac:dyDescent="0.25">
      <c r="B8" s="1060"/>
      <c r="C8" s="1060"/>
      <c r="D8" s="1062"/>
      <c r="E8" s="1062"/>
      <c r="F8" s="1063"/>
      <c r="G8" s="1063"/>
    </row>
    <row r="9" spans="2:7" ht="19.7" customHeight="1" x14ac:dyDescent="0.25">
      <c r="B9" s="721">
        <v>1</v>
      </c>
      <c r="C9" s="21" t="s">
        <v>265</v>
      </c>
      <c r="D9" s="84">
        <v>3120000</v>
      </c>
      <c r="E9" s="84">
        <v>3120000</v>
      </c>
      <c r="F9" s="84">
        <v>2600000</v>
      </c>
      <c r="G9" s="84">
        <f t="shared" ref="G9:G15" si="0">SUM(D9:F9)</f>
        <v>8840000</v>
      </c>
    </row>
    <row r="10" spans="2:7" ht="19.7" customHeight="1" x14ac:dyDescent="0.25">
      <c r="B10" s="721">
        <v>2</v>
      </c>
      <c r="C10" s="21" t="s">
        <v>315</v>
      </c>
      <c r="D10" s="84">
        <v>3120000</v>
      </c>
      <c r="E10" s="84">
        <v>3120000</v>
      </c>
      <c r="F10" s="84">
        <v>2600000</v>
      </c>
      <c r="G10" s="84">
        <f t="shared" si="0"/>
        <v>8840000</v>
      </c>
    </row>
    <row r="11" spans="2:7" ht="19.7" customHeight="1" x14ac:dyDescent="0.25">
      <c r="B11" s="721">
        <v>3</v>
      </c>
      <c r="C11" s="21" t="s">
        <v>700</v>
      </c>
      <c r="D11" s="84">
        <v>3120000</v>
      </c>
      <c r="E11" s="84">
        <v>3120000</v>
      </c>
      <c r="F11" s="84">
        <v>2600000</v>
      </c>
      <c r="G11" s="84">
        <f t="shared" si="0"/>
        <v>8840000</v>
      </c>
    </row>
    <row r="12" spans="2:7" ht="19.7" customHeight="1" x14ac:dyDescent="0.25">
      <c r="B12" s="721">
        <v>4</v>
      </c>
      <c r="C12" s="21" t="s">
        <v>296</v>
      </c>
      <c r="D12" s="84">
        <v>3120000</v>
      </c>
      <c r="E12" s="84">
        <v>3120000</v>
      </c>
      <c r="F12" s="84">
        <v>2600000</v>
      </c>
      <c r="G12" s="84">
        <f t="shared" si="0"/>
        <v>8840000</v>
      </c>
    </row>
    <row r="13" spans="2:7" ht="19.7" customHeight="1" x14ac:dyDescent="0.25">
      <c r="B13" s="721">
        <v>5</v>
      </c>
      <c r="C13" s="21" t="s">
        <v>278</v>
      </c>
      <c r="D13" s="84">
        <v>3120000</v>
      </c>
      <c r="E13" s="84">
        <v>3120000</v>
      </c>
      <c r="F13" s="84">
        <v>2600000</v>
      </c>
      <c r="G13" s="84">
        <f t="shared" si="0"/>
        <v>8840000</v>
      </c>
    </row>
    <row r="14" spans="2:7" ht="19.7" customHeight="1" x14ac:dyDescent="0.25">
      <c r="B14" s="721">
        <v>6</v>
      </c>
      <c r="C14" s="21" t="s">
        <v>701</v>
      </c>
      <c r="D14" s="84">
        <v>3120000</v>
      </c>
      <c r="E14" s="84">
        <v>3120000</v>
      </c>
      <c r="F14" s="84">
        <v>2600000</v>
      </c>
      <c r="G14" s="84">
        <f t="shared" si="0"/>
        <v>8840000</v>
      </c>
    </row>
    <row r="15" spans="2:7" ht="19.7" customHeight="1" x14ac:dyDescent="0.25">
      <c r="B15" s="847" t="s">
        <v>297</v>
      </c>
      <c r="C15" s="847"/>
      <c r="D15" s="86">
        <f>SUM(D9:D14)</f>
        <v>18720000</v>
      </c>
      <c r="E15" s="85">
        <f>SUM(E9:E14)</f>
        <v>18720000</v>
      </c>
      <c r="F15" s="86">
        <f>SUM(F9:F14)</f>
        <v>15600000</v>
      </c>
      <c r="G15" s="86">
        <f t="shared" si="0"/>
        <v>53040000</v>
      </c>
    </row>
    <row r="16" spans="2:7" ht="19.7" customHeight="1" x14ac:dyDescent="0.25">
      <c r="B16" s="726"/>
      <c r="C16" s="8"/>
      <c r="D16" s="87"/>
      <c r="E16" s="87"/>
      <c r="F16" s="746" t="s">
        <v>161</v>
      </c>
      <c r="G16" s="86">
        <f>G15</f>
        <v>53040000</v>
      </c>
    </row>
    <row r="17" spans="2:7" ht="19.7" customHeight="1" x14ac:dyDescent="0.25">
      <c r="B17" s="726"/>
      <c r="C17" s="8"/>
      <c r="D17" s="87"/>
      <c r="E17" s="87"/>
      <c r="F17" s="746" t="s">
        <v>666</v>
      </c>
      <c r="G17" s="86">
        <f>G16*0.3</f>
        <v>15912000</v>
      </c>
    </row>
    <row r="18" spans="2:7" x14ac:dyDescent="0.25">
      <c r="B18" s="727"/>
      <c r="C18" s="23"/>
      <c r="D18" s="23"/>
      <c r="E18" s="23"/>
      <c r="F18" s="23"/>
      <c r="G18" s="23"/>
    </row>
    <row r="19" spans="2:7" x14ac:dyDescent="0.25">
      <c r="B19" s="680"/>
      <c r="C19" s="11"/>
      <c r="D19" s="11"/>
      <c r="E19" s="11"/>
      <c r="F19" s="11"/>
      <c r="G19" s="11"/>
    </row>
    <row r="20" spans="2:7" x14ac:dyDescent="0.25">
      <c r="B20" s="680"/>
      <c r="C20" s="11"/>
      <c r="D20" s="11"/>
      <c r="E20" s="11"/>
      <c r="F20" s="11"/>
      <c r="G20" s="11"/>
    </row>
    <row r="21" spans="2:7" x14ac:dyDescent="0.25">
      <c r="D21" s="11"/>
      <c r="E21" s="11"/>
      <c r="F21" s="11"/>
    </row>
    <row r="22" spans="2:7" x14ac:dyDescent="0.25">
      <c r="D22" s="11"/>
      <c r="E22" s="11"/>
      <c r="F22" s="11"/>
    </row>
    <row r="23" spans="2:7" x14ac:dyDescent="0.25">
      <c r="D23" s="11"/>
      <c r="E23" s="11"/>
      <c r="F23" s="11"/>
    </row>
    <row r="24" spans="2:7" x14ac:dyDescent="0.25">
      <c r="D24" s="11"/>
      <c r="E24" s="11"/>
      <c r="F24" s="11"/>
    </row>
  </sheetData>
  <mergeCells count="9">
    <mergeCell ref="B15:C15"/>
    <mergeCell ref="B5:G5"/>
    <mergeCell ref="B6:G6"/>
    <mergeCell ref="B7:B8"/>
    <mergeCell ref="C7:C8"/>
    <mergeCell ref="D7:D8"/>
    <mergeCell ref="E7:E8"/>
    <mergeCell ref="F7:F8"/>
    <mergeCell ref="G7:G8"/>
  </mergeCells>
  <printOptions horizontalCentered="1"/>
  <pageMargins left="0.7" right="0.7" top="0.75" bottom="0.75" header="0.3" footer="0.3"/>
  <pageSetup paperSize="5"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5:I11"/>
  <sheetViews>
    <sheetView view="pageLayout" workbookViewId="0">
      <selection activeCell="B5" sqref="B5:I11"/>
    </sheetView>
  </sheetViews>
  <sheetFormatPr baseColWidth="10" defaultRowHeight="15" x14ac:dyDescent="0.25"/>
  <cols>
    <col min="1" max="2" width="11.42578125" style="113"/>
    <col min="3" max="3" width="24.5703125" style="113" customWidth="1"/>
    <col min="4" max="4" width="16.28515625" style="113" customWidth="1"/>
    <col min="5" max="5" width="15.42578125" style="113" customWidth="1"/>
    <col min="6" max="6" width="18" style="113" customWidth="1"/>
    <col min="7" max="7" width="13.42578125" style="113" customWidth="1"/>
    <col min="8" max="8" width="13" style="113" customWidth="1"/>
    <col min="9" max="9" width="13.140625" style="113" customWidth="1"/>
    <col min="10" max="16384" width="11.42578125" style="113"/>
  </cols>
  <sheetData>
    <row r="5" spans="2:9" x14ac:dyDescent="0.25">
      <c r="B5" s="1064" t="s">
        <v>286</v>
      </c>
      <c r="C5" s="1064"/>
      <c r="D5" s="1064"/>
      <c r="E5" s="1064"/>
      <c r="F5" s="1064"/>
      <c r="G5" s="1064"/>
      <c r="H5" s="1064"/>
      <c r="I5" s="1064"/>
    </row>
    <row r="6" spans="2:9" x14ac:dyDescent="0.25">
      <c r="B6" s="1064" t="s">
        <v>702</v>
      </c>
      <c r="C6" s="1064"/>
      <c r="D6" s="1064"/>
      <c r="E6" s="1064"/>
      <c r="F6" s="1064"/>
      <c r="G6" s="1064"/>
      <c r="H6" s="1064"/>
      <c r="I6" s="1064"/>
    </row>
    <row r="7" spans="2:9" ht="52.5" customHeight="1" x14ac:dyDescent="0.25">
      <c r="B7" s="747" t="s">
        <v>346</v>
      </c>
      <c r="C7" s="747" t="s">
        <v>347</v>
      </c>
      <c r="D7" s="747" t="s">
        <v>703</v>
      </c>
      <c r="E7" s="747" t="s">
        <v>704</v>
      </c>
      <c r="F7" s="747" t="s">
        <v>705</v>
      </c>
      <c r="G7" s="747" t="s">
        <v>706</v>
      </c>
      <c r="H7" s="747" t="s">
        <v>707</v>
      </c>
      <c r="I7" s="28" t="s">
        <v>298</v>
      </c>
    </row>
    <row r="8" spans="2:9" x14ac:dyDescent="0.25">
      <c r="B8" s="20">
        <v>1</v>
      </c>
      <c r="C8" s="16" t="s">
        <v>708</v>
      </c>
      <c r="D8" s="82">
        <v>6825000</v>
      </c>
      <c r="E8" s="82">
        <v>0</v>
      </c>
      <c r="F8" s="82">
        <v>25636000</v>
      </c>
      <c r="G8" s="82">
        <v>0</v>
      </c>
      <c r="H8" s="82">
        <v>77448640</v>
      </c>
      <c r="I8" s="81">
        <f>D8+F8+H8</f>
        <v>109909640</v>
      </c>
    </row>
    <row r="9" spans="2:9" x14ac:dyDescent="0.25">
      <c r="B9" s="25">
        <v>2</v>
      </c>
      <c r="C9" s="26" t="s">
        <v>161</v>
      </c>
      <c r="D9" s="82">
        <f>D8</f>
        <v>6825000</v>
      </c>
      <c r="E9" s="82">
        <v>0</v>
      </c>
      <c r="F9" s="82">
        <f>F8</f>
        <v>25636000</v>
      </c>
      <c r="G9" s="82">
        <v>0</v>
      </c>
      <c r="H9" s="82">
        <f>H8</f>
        <v>77448640</v>
      </c>
      <c r="I9" s="81">
        <f>SUM(D9:H9)</f>
        <v>109909640</v>
      </c>
    </row>
    <row r="10" spans="2:9" x14ac:dyDescent="0.25">
      <c r="B10" s="27"/>
      <c r="C10" s="27"/>
      <c r="D10" s="89"/>
      <c r="E10" s="89"/>
      <c r="F10" s="89"/>
      <c r="G10" s="1065" t="s">
        <v>298</v>
      </c>
      <c r="H10" s="1065"/>
      <c r="I10" s="83">
        <f>I9</f>
        <v>109909640</v>
      </c>
    </row>
    <row r="11" spans="2:9" x14ac:dyDescent="0.25">
      <c r="D11" s="79"/>
      <c r="E11" s="79"/>
      <c r="F11" s="79"/>
      <c r="G11" s="1066" t="s">
        <v>666</v>
      </c>
      <c r="H11" s="1066"/>
      <c r="I11" s="728">
        <f>I10*0.3</f>
        <v>32972892</v>
      </c>
    </row>
  </sheetData>
  <mergeCells count="4">
    <mergeCell ref="B5:I5"/>
    <mergeCell ref="B6:I6"/>
    <mergeCell ref="G10:H10"/>
    <mergeCell ref="G11:H11"/>
  </mergeCells>
  <printOptions horizontalCentered="1"/>
  <pageMargins left="0.7" right="0.7" top="0.75" bottom="0.75" header="0.3" footer="0.3"/>
  <pageSetup paperSize="5"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3:E25"/>
  <sheetViews>
    <sheetView view="pageLayout" zoomScaleNormal="100" workbookViewId="0">
      <selection activeCell="C3" sqref="C3:E25"/>
    </sheetView>
  </sheetViews>
  <sheetFormatPr baseColWidth="10" defaultRowHeight="12" x14ac:dyDescent="0.2"/>
  <cols>
    <col min="1" max="2" width="11.42578125" style="729"/>
    <col min="3" max="3" width="6.42578125" style="730" customWidth="1"/>
    <col min="4" max="4" width="86.5703125" style="729" customWidth="1"/>
    <col min="5" max="5" width="21.140625" style="729" customWidth="1"/>
    <col min="6" max="16384" width="11.42578125" style="729"/>
  </cols>
  <sheetData>
    <row r="3" spans="3:5" ht="18" customHeight="1" x14ac:dyDescent="0.2">
      <c r="C3" s="867" t="s">
        <v>538</v>
      </c>
      <c r="D3" s="867"/>
      <c r="E3" s="867"/>
    </row>
    <row r="4" spans="3:5" ht="18" customHeight="1" x14ac:dyDescent="0.2">
      <c r="C4" s="867" t="s">
        <v>1427</v>
      </c>
      <c r="D4" s="867"/>
      <c r="E4" s="867"/>
    </row>
    <row r="5" spans="3:5" ht="17.25" customHeight="1" x14ac:dyDescent="0.2">
      <c r="C5" s="879" t="s">
        <v>543</v>
      </c>
      <c r="D5" s="880"/>
      <c r="E5" s="881"/>
    </row>
    <row r="6" spans="3:5" ht="17.25" customHeight="1" x14ac:dyDescent="0.2">
      <c r="C6" s="1005" t="s">
        <v>1910</v>
      </c>
      <c r="D6" s="1006"/>
      <c r="E6" s="1007"/>
    </row>
    <row r="7" spans="3:5" ht="17.25" customHeight="1" x14ac:dyDescent="0.2">
      <c r="C7" s="882" t="s">
        <v>1911</v>
      </c>
      <c r="D7" s="883"/>
      <c r="E7" s="884"/>
    </row>
    <row r="8" spans="3:5" ht="38.25" customHeight="1" x14ac:dyDescent="0.2">
      <c r="C8" s="731" t="s">
        <v>299</v>
      </c>
      <c r="D8" s="732" t="s">
        <v>0</v>
      </c>
      <c r="E8" s="732" t="s">
        <v>709</v>
      </c>
    </row>
    <row r="9" spans="3:5" ht="18" customHeight="1" x14ac:dyDescent="0.2">
      <c r="C9" s="744">
        <v>1</v>
      </c>
      <c r="D9" s="739" t="s">
        <v>1912</v>
      </c>
      <c r="E9" s="204">
        <v>1220251922</v>
      </c>
    </row>
    <row r="10" spans="3:5" ht="18" customHeight="1" x14ac:dyDescent="0.2">
      <c r="C10" s="744">
        <v>2</v>
      </c>
      <c r="D10" s="739" t="s">
        <v>1913</v>
      </c>
      <c r="E10" s="204">
        <v>144025755</v>
      </c>
    </row>
    <row r="11" spans="3:5" ht="18" customHeight="1" x14ac:dyDescent="0.2">
      <c r="C11" s="744">
        <v>3</v>
      </c>
      <c r="D11" s="739" t="s">
        <v>1914</v>
      </c>
      <c r="E11" s="204">
        <v>219544502</v>
      </c>
    </row>
    <row r="12" spans="3:5" ht="18" customHeight="1" x14ac:dyDescent="0.2">
      <c r="C12" s="744">
        <v>4</v>
      </c>
      <c r="D12" s="739" t="s">
        <v>1915</v>
      </c>
      <c r="E12" s="204">
        <v>127555154</v>
      </c>
    </row>
    <row r="13" spans="3:5" ht="18" customHeight="1" x14ac:dyDescent="0.2">
      <c r="C13" s="744">
        <v>5</v>
      </c>
      <c r="D13" s="739" t="s">
        <v>1916</v>
      </c>
      <c r="E13" s="204">
        <v>1414157483</v>
      </c>
    </row>
    <row r="14" spans="3:5" ht="18" customHeight="1" x14ac:dyDescent="0.2">
      <c r="C14" s="744">
        <v>6</v>
      </c>
      <c r="D14" s="739" t="s">
        <v>1917</v>
      </c>
      <c r="E14" s="204">
        <v>23743336</v>
      </c>
    </row>
    <row r="15" spans="3:5" ht="18" customHeight="1" x14ac:dyDescent="0.2">
      <c r="C15" s="744">
        <v>7</v>
      </c>
      <c r="D15" s="739" t="s">
        <v>1918</v>
      </c>
      <c r="E15" s="204">
        <v>382035388</v>
      </c>
    </row>
    <row r="16" spans="3:5" ht="18" customHeight="1" x14ac:dyDescent="0.2">
      <c r="C16" s="744">
        <v>8</v>
      </c>
      <c r="D16" s="739" t="s">
        <v>1888</v>
      </c>
      <c r="E16" s="204">
        <v>73178139</v>
      </c>
    </row>
    <row r="17" spans="3:5" ht="18" customHeight="1" x14ac:dyDescent="0.2">
      <c r="C17" s="744">
        <v>9</v>
      </c>
      <c r="D17" s="739" t="s">
        <v>1919</v>
      </c>
      <c r="E17" s="204">
        <v>43766800</v>
      </c>
    </row>
    <row r="18" spans="3:5" ht="18" customHeight="1" x14ac:dyDescent="0.2">
      <c r="C18" s="744">
        <v>10</v>
      </c>
      <c r="D18" s="739" t="s">
        <v>1920</v>
      </c>
      <c r="E18" s="204">
        <v>220499978</v>
      </c>
    </row>
    <row r="19" spans="3:5" ht="18" customHeight="1" x14ac:dyDescent="0.2">
      <c r="C19" s="744">
        <v>11</v>
      </c>
      <c r="D19" s="739" t="s">
        <v>1921</v>
      </c>
      <c r="E19" s="204">
        <v>55670776</v>
      </c>
    </row>
    <row r="20" spans="3:5" ht="18" customHeight="1" x14ac:dyDescent="0.2">
      <c r="C20" s="744">
        <v>12</v>
      </c>
      <c r="D20" s="739" t="s">
        <v>1922</v>
      </c>
      <c r="E20" s="204">
        <v>19022858</v>
      </c>
    </row>
    <row r="21" spans="3:5" ht="18" customHeight="1" x14ac:dyDescent="0.2">
      <c r="C21" s="744">
        <v>13</v>
      </c>
      <c r="D21" s="739" t="s">
        <v>1923</v>
      </c>
      <c r="E21" s="204">
        <v>8524060</v>
      </c>
    </row>
    <row r="22" spans="3:5" ht="18" customHeight="1" x14ac:dyDescent="0.2">
      <c r="C22" s="744">
        <v>14</v>
      </c>
      <c r="D22" s="739" t="s">
        <v>1924</v>
      </c>
      <c r="E22" s="204">
        <v>12376000</v>
      </c>
    </row>
    <row r="23" spans="3:5" ht="18" customHeight="1" x14ac:dyDescent="0.2">
      <c r="C23" s="744">
        <v>15</v>
      </c>
      <c r="D23" s="739" t="s">
        <v>1925</v>
      </c>
      <c r="E23" s="204">
        <v>37128000</v>
      </c>
    </row>
    <row r="24" spans="3:5" ht="18" customHeight="1" x14ac:dyDescent="0.2">
      <c r="C24" s="744">
        <v>16</v>
      </c>
      <c r="D24" s="739" t="s">
        <v>1926</v>
      </c>
      <c r="E24" s="204">
        <v>76936748</v>
      </c>
    </row>
    <row r="25" spans="3:5" ht="18" customHeight="1" x14ac:dyDescent="0.2">
      <c r="C25" s="733"/>
      <c r="D25" s="732" t="s">
        <v>710</v>
      </c>
      <c r="E25" s="196">
        <f>SUM(E9:E24)</f>
        <v>4078416899</v>
      </c>
    </row>
  </sheetData>
  <mergeCells count="5">
    <mergeCell ref="C3:E3"/>
    <mergeCell ref="C4:E4"/>
    <mergeCell ref="C5:E5"/>
    <mergeCell ref="C6:E6"/>
    <mergeCell ref="C7:E7"/>
  </mergeCells>
  <pageMargins left="0.7" right="0.7" top="0.75" bottom="0.75" header="0.3" footer="0.3"/>
  <pageSetup paperSize="5"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3:E25"/>
  <sheetViews>
    <sheetView view="pageLayout" zoomScaleNormal="100" workbookViewId="0">
      <selection activeCell="C3" sqref="C3:E25"/>
    </sheetView>
  </sheetViews>
  <sheetFormatPr baseColWidth="10" defaultRowHeight="12" x14ac:dyDescent="0.2"/>
  <cols>
    <col min="1" max="2" width="11.42578125" style="729"/>
    <col min="3" max="3" width="6.42578125" style="730" customWidth="1"/>
    <col min="4" max="4" width="86.5703125" style="729" customWidth="1"/>
    <col min="5" max="5" width="21.140625" style="729" customWidth="1"/>
    <col min="6" max="16384" width="11.42578125" style="729"/>
  </cols>
  <sheetData>
    <row r="3" spans="3:5" ht="18" customHeight="1" x14ac:dyDescent="0.2">
      <c r="C3" s="867" t="s">
        <v>538</v>
      </c>
      <c r="D3" s="867"/>
      <c r="E3" s="867"/>
    </row>
    <row r="4" spans="3:5" ht="18" customHeight="1" x14ac:dyDescent="0.2">
      <c r="C4" s="867" t="s">
        <v>1427</v>
      </c>
      <c r="D4" s="867"/>
      <c r="E4" s="867"/>
    </row>
    <row r="5" spans="3:5" ht="17.25" customHeight="1" x14ac:dyDescent="0.2">
      <c r="C5" s="879" t="s">
        <v>543</v>
      </c>
      <c r="D5" s="880"/>
      <c r="E5" s="881"/>
    </row>
    <row r="6" spans="3:5" ht="17.25" customHeight="1" x14ac:dyDescent="0.2">
      <c r="C6" s="1005" t="s">
        <v>1910</v>
      </c>
      <c r="D6" s="1006"/>
      <c r="E6" s="1007"/>
    </row>
    <row r="7" spans="3:5" ht="17.25" customHeight="1" x14ac:dyDescent="0.2">
      <c r="C7" s="882" t="s">
        <v>1927</v>
      </c>
      <c r="D7" s="883"/>
      <c r="E7" s="884"/>
    </row>
    <row r="8" spans="3:5" ht="38.25" customHeight="1" x14ac:dyDescent="0.2">
      <c r="C8" s="731" t="s">
        <v>299</v>
      </c>
      <c r="D8" s="732" t="s">
        <v>0</v>
      </c>
      <c r="E8" s="732" t="s">
        <v>709</v>
      </c>
    </row>
    <row r="9" spans="3:5" ht="18" customHeight="1" x14ac:dyDescent="0.2">
      <c r="C9" s="744">
        <v>1</v>
      </c>
      <c r="D9" s="739" t="s">
        <v>1912</v>
      </c>
      <c r="E9" s="204">
        <v>522965109</v>
      </c>
    </row>
    <row r="10" spans="3:5" ht="18" customHeight="1" x14ac:dyDescent="0.2">
      <c r="C10" s="744">
        <v>2</v>
      </c>
      <c r="D10" s="739" t="s">
        <v>1913</v>
      </c>
      <c r="E10" s="204">
        <v>61725323</v>
      </c>
    </row>
    <row r="11" spans="3:5" ht="18" customHeight="1" x14ac:dyDescent="0.2">
      <c r="C11" s="744">
        <v>3</v>
      </c>
      <c r="D11" s="739" t="s">
        <v>1914</v>
      </c>
      <c r="E11" s="204">
        <v>94090501</v>
      </c>
    </row>
    <row r="12" spans="3:5" ht="18" customHeight="1" x14ac:dyDescent="0.2">
      <c r="C12" s="744">
        <v>4</v>
      </c>
      <c r="D12" s="739" t="s">
        <v>1915</v>
      </c>
      <c r="E12" s="204">
        <v>54666495</v>
      </c>
    </row>
    <row r="13" spans="3:5" ht="18" customHeight="1" x14ac:dyDescent="0.2">
      <c r="C13" s="744">
        <v>5</v>
      </c>
      <c r="D13" s="739" t="s">
        <v>1916</v>
      </c>
      <c r="E13" s="204">
        <v>606067493</v>
      </c>
    </row>
    <row r="14" spans="3:5" ht="18" customHeight="1" x14ac:dyDescent="0.2">
      <c r="C14" s="744">
        <v>6</v>
      </c>
      <c r="D14" s="739" t="s">
        <v>1917</v>
      </c>
      <c r="E14" s="204">
        <v>10175715</v>
      </c>
    </row>
    <row r="15" spans="3:5" ht="18" customHeight="1" x14ac:dyDescent="0.2">
      <c r="C15" s="744">
        <v>7</v>
      </c>
      <c r="D15" s="739" t="s">
        <v>1918</v>
      </c>
      <c r="E15" s="204">
        <v>163729452</v>
      </c>
    </row>
    <row r="16" spans="3:5" ht="18" customHeight="1" x14ac:dyDescent="0.2">
      <c r="C16" s="744">
        <v>8</v>
      </c>
      <c r="D16" s="739" t="s">
        <v>1888</v>
      </c>
      <c r="E16" s="204">
        <v>31362060</v>
      </c>
    </row>
    <row r="17" spans="3:5" ht="18" customHeight="1" x14ac:dyDescent="0.2">
      <c r="C17" s="744">
        <v>9</v>
      </c>
      <c r="D17" s="739" t="s">
        <v>1919</v>
      </c>
      <c r="E17" s="204">
        <v>18757200</v>
      </c>
    </row>
    <row r="18" spans="3:5" ht="18" customHeight="1" x14ac:dyDescent="0.2">
      <c r="C18" s="744">
        <v>10</v>
      </c>
      <c r="D18" s="739" t="s">
        <v>1920</v>
      </c>
      <c r="E18" s="204">
        <v>94499991</v>
      </c>
    </row>
    <row r="19" spans="3:5" ht="18" customHeight="1" x14ac:dyDescent="0.2">
      <c r="C19" s="744">
        <v>11</v>
      </c>
      <c r="D19" s="739" t="s">
        <v>1921</v>
      </c>
      <c r="E19" s="204">
        <v>23858904</v>
      </c>
    </row>
    <row r="20" spans="3:5" ht="18" customHeight="1" x14ac:dyDescent="0.2">
      <c r="C20" s="744">
        <v>12</v>
      </c>
      <c r="D20" s="739" t="s">
        <v>1922</v>
      </c>
      <c r="E20" s="204">
        <v>8152654</v>
      </c>
    </row>
    <row r="21" spans="3:5" ht="18" customHeight="1" x14ac:dyDescent="0.2">
      <c r="C21" s="744">
        <v>13</v>
      </c>
      <c r="D21" s="739" t="s">
        <v>1923</v>
      </c>
      <c r="E21" s="204">
        <v>3653169</v>
      </c>
    </row>
    <row r="22" spans="3:5" ht="18" customHeight="1" x14ac:dyDescent="0.2">
      <c r="C22" s="744">
        <v>14</v>
      </c>
      <c r="D22" s="739" t="s">
        <v>1924</v>
      </c>
      <c r="E22" s="204">
        <v>5304000</v>
      </c>
    </row>
    <row r="23" spans="3:5" ht="18" customHeight="1" x14ac:dyDescent="0.2">
      <c r="C23" s="744">
        <v>15</v>
      </c>
      <c r="D23" s="739" t="s">
        <v>1925</v>
      </c>
      <c r="E23" s="204">
        <v>15912000</v>
      </c>
    </row>
    <row r="24" spans="3:5" ht="18" customHeight="1" x14ac:dyDescent="0.2">
      <c r="C24" s="744">
        <v>16</v>
      </c>
      <c r="D24" s="739" t="s">
        <v>1926</v>
      </c>
      <c r="E24" s="204">
        <v>32972892</v>
      </c>
    </row>
    <row r="25" spans="3:5" ht="18" customHeight="1" x14ac:dyDescent="0.2">
      <c r="C25" s="733"/>
      <c r="D25" s="732" t="s">
        <v>710</v>
      </c>
      <c r="E25" s="196">
        <f>SUM(E9:E24)</f>
        <v>1747892958</v>
      </c>
    </row>
  </sheetData>
  <mergeCells count="5">
    <mergeCell ref="C3:E3"/>
    <mergeCell ref="C4:E4"/>
    <mergeCell ref="C5:E5"/>
    <mergeCell ref="C6:E6"/>
    <mergeCell ref="C7:E7"/>
  </mergeCells>
  <pageMargins left="0.7" right="0.7" top="0.75" bottom="0.75" header="0.3" footer="0.3"/>
  <pageSetup paperSize="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B0F0"/>
  </sheetPr>
  <dimension ref="A1:F51"/>
  <sheetViews>
    <sheetView view="pageLayout" zoomScaleNormal="100" workbookViewId="0">
      <selection sqref="A1:F51"/>
    </sheetView>
  </sheetViews>
  <sheetFormatPr baseColWidth="10" defaultRowHeight="12" x14ac:dyDescent="0.25"/>
  <cols>
    <col min="1" max="1" width="5" style="180" bestFit="1" customWidth="1"/>
    <col min="2" max="2" width="38" style="178" bestFit="1" customWidth="1"/>
    <col min="3" max="4" width="11.42578125" style="178"/>
    <col min="5" max="5" width="11.5703125" style="178" bestFit="1" customWidth="1"/>
    <col min="6" max="6" width="13.7109375" style="178" bestFit="1" customWidth="1"/>
    <col min="7" max="16384" width="11.42578125" style="178"/>
  </cols>
  <sheetData>
    <row r="1" spans="1:6" x14ac:dyDescent="0.25">
      <c r="A1" s="867" t="s">
        <v>1395</v>
      </c>
      <c r="B1" s="867"/>
      <c r="C1" s="867"/>
      <c r="D1" s="867"/>
      <c r="E1" s="867"/>
      <c r="F1" s="867"/>
    </row>
    <row r="2" spans="1:6" ht="24" x14ac:dyDescent="0.25">
      <c r="A2" s="161" t="s">
        <v>233</v>
      </c>
      <c r="B2" s="161" t="s">
        <v>0</v>
      </c>
      <c r="C2" s="161" t="s">
        <v>6</v>
      </c>
      <c r="D2" s="161" t="s">
        <v>2</v>
      </c>
      <c r="E2" s="160" t="s">
        <v>310</v>
      </c>
      <c r="F2" s="160" t="s">
        <v>180</v>
      </c>
    </row>
    <row r="3" spans="1:6" ht="18" customHeight="1" x14ac:dyDescent="0.25">
      <c r="A3" s="359">
        <v>1</v>
      </c>
      <c r="B3" s="148" t="s">
        <v>181</v>
      </c>
      <c r="C3" s="359" t="s">
        <v>182</v>
      </c>
      <c r="D3" s="372">
        <v>300</v>
      </c>
      <c r="E3" s="373">
        <v>2866.5</v>
      </c>
      <c r="F3" s="204">
        <f>E3*D3</f>
        <v>859950</v>
      </c>
    </row>
    <row r="4" spans="1:6" ht="18" customHeight="1" x14ac:dyDescent="0.25">
      <c r="A4" s="359">
        <v>2</v>
      </c>
      <c r="B4" s="148" t="s">
        <v>183</v>
      </c>
      <c r="C4" s="359" t="s">
        <v>182</v>
      </c>
      <c r="D4" s="372">
        <v>500</v>
      </c>
      <c r="E4" s="373">
        <v>5850</v>
      </c>
      <c r="F4" s="204">
        <f t="shared" ref="F4:F48" si="0">E4*D4</f>
        <v>2925000</v>
      </c>
    </row>
    <row r="5" spans="1:6" ht="18" customHeight="1" x14ac:dyDescent="0.25">
      <c r="A5" s="359">
        <v>3</v>
      </c>
      <c r="B5" s="148" t="s">
        <v>184</v>
      </c>
      <c r="C5" s="359" t="s">
        <v>182</v>
      </c>
      <c r="D5" s="372">
        <v>600</v>
      </c>
      <c r="E5" s="373">
        <v>14170</v>
      </c>
      <c r="F5" s="204">
        <f t="shared" si="0"/>
        <v>8502000</v>
      </c>
    </row>
    <row r="6" spans="1:6" ht="18" customHeight="1" x14ac:dyDescent="0.25">
      <c r="A6" s="359">
        <v>4</v>
      </c>
      <c r="B6" s="148" t="s">
        <v>185</v>
      </c>
      <c r="C6" s="359" t="s">
        <v>39</v>
      </c>
      <c r="D6" s="372">
        <v>500</v>
      </c>
      <c r="E6" s="373">
        <v>5070</v>
      </c>
      <c r="F6" s="204">
        <f t="shared" si="0"/>
        <v>2535000</v>
      </c>
    </row>
    <row r="7" spans="1:6" ht="18" customHeight="1" x14ac:dyDescent="0.25">
      <c r="A7" s="359">
        <v>5</v>
      </c>
      <c r="B7" s="148" t="s">
        <v>186</v>
      </c>
      <c r="C7" s="359" t="s">
        <v>187</v>
      </c>
      <c r="D7" s="372">
        <v>300</v>
      </c>
      <c r="E7" s="373">
        <v>7452.9000000000005</v>
      </c>
      <c r="F7" s="204">
        <f t="shared" si="0"/>
        <v>2235870</v>
      </c>
    </row>
    <row r="8" spans="1:6" ht="18" customHeight="1" x14ac:dyDescent="0.25">
      <c r="A8" s="359">
        <v>6</v>
      </c>
      <c r="B8" s="148" t="s">
        <v>188</v>
      </c>
      <c r="C8" s="359" t="s">
        <v>189</v>
      </c>
      <c r="D8" s="372">
        <v>800</v>
      </c>
      <c r="E8" s="373">
        <v>8656.83</v>
      </c>
      <c r="F8" s="204">
        <f t="shared" si="0"/>
        <v>6925464</v>
      </c>
    </row>
    <row r="9" spans="1:6" ht="18" customHeight="1" x14ac:dyDescent="0.25">
      <c r="A9" s="359">
        <v>7</v>
      </c>
      <c r="B9" s="148" t="s">
        <v>190</v>
      </c>
      <c r="C9" s="359" t="s">
        <v>189</v>
      </c>
      <c r="D9" s="372">
        <v>800</v>
      </c>
      <c r="E9" s="373">
        <v>8656.83</v>
      </c>
      <c r="F9" s="204">
        <f t="shared" si="0"/>
        <v>6925464</v>
      </c>
    </row>
    <row r="10" spans="1:6" ht="18" customHeight="1" x14ac:dyDescent="0.25">
      <c r="A10" s="359">
        <v>8</v>
      </c>
      <c r="B10" s="148" t="s">
        <v>191</v>
      </c>
      <c r="C10" s="359" t="s">
        <v>189</v>
      </c>
      <c r="D10" s="372">
        <v>800</v>
      </c>
      <c r="E10" s="373">
        <v>8656.83</v>
      </c>
      <c r="F10" s="204">
        <f t="shared" si="0"/>
        <v>6925464</v>
      </c>
    </row>
    <row r="11" spans="1:6" ht="18" customHeight="1" x14ac:dyDescent="0.25">
      <c r="A11" s="359">
        <v>9</v>
      </c>
      <c r="B11" s="148" t="s">
        <v>192</v>
      </c>
      <c r="C11" s="359" t="s">
        <v>189</v>
      </c>
      <c r="D11" s="372">
        <v>800</v>
      </c>
      <c r="E11" s="373">
        <v>4471.7400000000007</v>
      </c>
      <c r="F11" s="204">
        <f t="shared" si="0"/>
        <v>3577392.0000000005</v>
      </c>
    </row>
    <row r="12" spans="1:6" ht="18" customHeight="1" x14ac:dyDescent="0.25">
      <c r="A12" s="359">
        <v>10</v>
      </c>
      <c r="B12" s="148" t="s">
        <v>193</v>
      </c>
      <c r="C12" s="359" t="s">
        <v>189</v>
      </c>
      <c r="D12" s="372">
        <v>800</v>
      </c>
      <c r="E12" s="373">
        <v>4471.7400000000007</v>
      </c>
      <c r="F12" s="204">
        <f t="shared" si="0"/>
        <v>3577392.0000000005</v>
      </c>
    </row>
    <row r="13" spans="1:6" ht="18" customHeight="1" x14ac:dyDescent="0.25">
      <c r="A13" s="359">
        <v>11</v>
      </c>
      <c r="B13" s="148" t="s">
        <v>194</v>
      </c>
      <c r="C13" s="359" t="s">
        <v>189</v>
      </c>
      <c r="D13" s="372">
        <v>800</v>
      </c>
      <c r="E13" s="373">
        <v>4471.7400000000007</v>
      </c>
      <c r="F13" s="204">
        <f t="shared" si="0"/>
        <v>3577392.0000000005</v>
      </c>
    </row>
    <row r="14" spans="1:6" ht="18" customHeight="1" x14ac:dyDescent="0.25">
      <c r="A14" s="359">
        <v>12</v>
      </c>
      <c r="B14" s="148" t="s">
        <v>195</v>
      </c>
      <c r="C14" s="359" t="s">
        <v>189</v>
      </c>
      <c r="D14" s="372">
        <v>800</v>
      </c>
      <c r="E14" s="373">
        <v>13529.880000000001</v>
      </c>
      <c r="F14" s="204">
        <f t="shared" si="0"/>
        <v>10823904</v>
      </c>
    </row>
    <row r="15" spans="1:6" ht="18" customHeight="1" x14ac:dyDescent="0.25">
      <c r="A15" s="359">
        <v>13</v>
      </c>
      <c r="B15" s="148" t="s">
        <v>196</v>
      </c>
      <c r="C15" s="359" t="s">
        <v>189</v>
      </c>
      <c r="D15" s="372">
        <v>800</v>
      </c>
      <c r="E15" s="373">
        <v>13529.880000000001</v>
      </c>
      <c r="F15" s="204">
        <f t="shared" si="0"/>
        <v>10823904</v>
      </c>
    </row>
    <row r="16" spans="1:6" ht="18" customHeight="1" x14ac:dyDescent="0.25">
      <c r="A16" s="359">
        <v>14</v>
      </c>
      <c r="B16" s="148" t="s">
        <v>197</v>
      </c>
      <c r="C16" s="359" t="s">
        <v>189</v>
      </c>
      <c r="D16" s="372">
        <v>800</v>
      </c>
      <c r="E16" s="373">
        <v>13529.880000000001</v>
      </c>
      <c r="F16" s="204">
        <f t="shared" si="0"/>
        <v>10823904</v>
      </c>
    </row>
    <row r="17" spans="1:6" ht="18" customHeight="1" x14ac:dyDescent="0.25">
      <c r="A17" s="359">
        <v>15</v>
      </c>
      <c r="B17" s="148" t="s">
        <v>198</v>
      </c>
      <c r="C17" s="359" t="s">
        <v>14</v>
      </c>
      <c r="D17" s="372">
        <v>300</v>
      </c>
      <c r="E17" s="373">
        <v>401.31</v>
      </c>
      <c r="F17" s="204">
        <f t="shared" si="0"/>
        <v>120393</v>
      </c>
    </row>
    <row r="18" spans="1:6" ht="18" customHeight="1" x14ac:dyDescent="0.25">
      <c r="A18" s="359">
        <v>16</v>
      </c>
      <c r="B18" s="148" t="s">
        <v>199</v>
      </c>
      <c r="C18" s="359" t="s">
        <v>187</v>
      </c>
      <c r="D18" s="372">
        <v>100</v>
      </c>
      <c r="E18" s="373">
        <v>8599.5</v>
      </c>
      <c r="F18" s="204">
        <f t="shared" si="0"/>
        <v>859950</v>
      </c>
    </row>
    <row r="19" spans="1:6" ht="18" customHeight="1" x14ac:dyDescent="0.25">
      <c r="A19" s="359">
        <v>17</v>
      </c>
      <c r="B19" s="148" t="s">
        <v>200</v>
      </c>
      <c r="C19" s="359" t="s">
        <v>187</v>
      </c>
      <c r="D19" s="372">
        <v>800</v>
      </c>
      <c r="E19" s="373">
        <v>3230.3250000000003</v>
      </c>
      <c r="F19" s="204">
        <f t="shared" si="0"/>
        <v>2584260</v>
      </c>
    </row>
    <row r="20" spans="1:6" ht="18" customHeight="1" x14ac:dyDescent="0.25">
      <c r="A20" s="359">
        <v>18</v>
      </c>
      <c r="B20" s="148" t="s">
        <v>201</v>
      </c>
      <c r="C20" s="359" t="s">
        <v>187</v>
      </c>
      <c r="D20" s="372">
        <v>300</v>
      </c>
      <c r="E20" s="373">
        <v>2121.21</v>
      </c>
      <c r="F20" s="204">
        <f t="shared" si="0"/>
        <v>636363</v>
      </c>
    </row>
    <row r="21" spans="1:6" ht="18" customHeight="1" x14ac:dyDescent="0.25">
      <c r="A21" s="359">
        <v>19</v>
      </c>
      <c r="B21" s="148" t="s">
        <v>202</v>
      </c>
      <c r="C21" s="359" t="s">
        <v>182</v>
      </c>
      <c r="D21" s="372">
        <v>500</v>
      </c>
      <c r="E21" s="373">
        <v>1834.5600000000002</v>
      </c>
      <c r="F21" s="204">
        <f t="shared" si="0"/>
        <v>917280.00000000012</v>
      </c>
    </row>
    <row r="22" spans="1:6" ht="18" customHeight="1" x14ac:dyDescent="0.25">
      <c r="A22" s="359">
        <v>20</v>
      </c>
      <c r="B22" s="148" t="s">
        <v>203</v>
      </c>
      <c r="C22" s="359" t="s">
        <v>208</v>
      </c>
      <c r="D22" s="372">
        <v>1000</v>
      </c>
      <c r="E22" s="373">
        <v>4299.75</v>
      </c>
      <c r="F22" s="204">
        <f t="shared" si="0"/>
        <v>4299750</v>
      </c>
    </row>
    <row r="23" spans="1:6" ht="18" customHeight="1" x14ac:dyDescent="0.25">
      <c r="A23" s="359">
        <v>21</v>
      </c>
      <c r="B23" s="148" t="s">
        <v>204</v>
      </c>
      <c r="C23" s="359" t="s">
        <v>182</v>
      </c>
      <c r="D23" s="372">
        <v>1000</v>
      </c>
      <c r="E23" s="373">
        <v>3783.78</v>
      </c>
      <c r="F23" s="204">
        <f t="shared" si="0"/>
        <v>3783780</v>
      </c>
    </row>
    <row r="24" spans="1:6" ht="18" customHeight="1" x14ac:dyDescent="0.25">
      <c r="A24" s="359">
        <v>22</v>
      </c>
      <c r="B24" s="148" t="s">
        <v>205</v>
      </c>
      <c r="C24" s="359" t="s">
        <v>182</v>
      </c>
      <c r="D24" s="372">
        <v>1500</v>
      </c>
      <c r="E24" s="373">
        <v>4357.0800000000008</v>
      </c>
      <c r="F24" s="204">
        <f t="shared" si="0"/>
        <v>6535620.0000000009</v>
      </c>
    </row>
    <row r="25" spans="1:6" ht="18" customHeight="1" x14ac:dyDescent="0.25">
      <c r="A25" s="359">
        <v>23</v>
      </c>
      <c r="B25" s="148" t="s">
        <v>206</v>
      </c>
      <c r="C25" s="359" t="s">
        <v>25</v>
      </c>
      <c r="D25" s="372">
        <v>300</v>
      </c>
      <c r="E25" s="373">
        <v>1547.91</v>
      </c>
      <c r="F25" s="204">
        <f t="shared" si="0"/>
        <v>464373</v>
      </c>
    </row>
    <row r="26" spans="1:6" ht="18" customHeight="1" x14ac:dyDescent="0.25">
      <c r="A26" s="359">
        <v>24</v>
      </c>
      <c r="B26" s="148" t="s">
        <v>207</v>
      </c>
      <c r="C26" s="359" t="s">
        <v>208</v>
      </c>
      <c r="D26" s="372">
        <v>400</v>
      </c>
      <c r="E26" s="373">
        <v>3095.82</v>
      </c>
      <c r="F26" s="204">
        <f t="shared" si="0"/>
        <v>1238328</v>
      </c>
    </row>
    <row r="27" spans="1:6" ht="18" customHeight="1" x14ac:dyDescent="0.25">
      <c r="A27" s="359">
        <v>25</v>
      </c>
      <c r="B27" s="148" t="s">
        <v>209</v>
      </c>
      <c r="C27" s="359" t="s">
        <v>210</v>
      </c>
      <c r="D27" s="372">
        <v>500</v>
      </c>
      <c r="E27" s="373">
        <v>7000</v>
      </c>
      <c r="F27" s="204">
        <f t="shared" si="0"/>
        <v>3500000</v>
      </c>
    </row>
    <row r="28" spans="1:6" ht="18" customHeight="1" x14ac:dyDescent="0.25">
      <c r="A28" s="359">
        <v>26</v>
      </c>
      <c r="B28" s="148" t="s">
        <v>211</v>
      </c>
      <c r="C28" s="359" t="s">
        <v>182</v>
      </c>
      <c r="D28" s="148">
        <v>100</v>
      </c>
      <c r="E28" s="373">
        <v>6500</v>
      </c>
      <c r="F28" s="204">
        <f t="shared" si="0"/>
        <v>650000</v>
      </c>
    </row>
    <row r="29" spans="1:6" ht="18" customHeight="1" x14ac:dyDescent="0.25">
      <c r="A29" s="359">
        <v>27</v>
      </c>
      <c r="B29" s="148" t="s">
        <v>212</v>
      </c>
      <c r="C29" s="359" t="s">
        <v>182</v>
      </c>
      <c r="D29" s="372">
        <v>200</v>
      </c>
      <c r="E29" s="373">
        <v>7223.5800000000008</v>
      </c>
      <c r="F29" s="204">
        <f t="shared" si="0"/>
        <v>1444716.0000000002</v>
      </c>
    </row>
    <row r="30" spans="1:6" ht="18" customHeight="1" x14ac:dyDescent="0.25">
      <c r="A30" s="359">
        <v>28</v>
      </c>
      <c r="B30" s="148" t="s">
        <v>213</v>
      </c>
      <c r="C30" s="359" t="s">
        <v>182</v>
      </c>
      <c r="D30" s="372">
        <v>200</v>
      </c>
      <c r="E30" s="373">
        <v>4471.7400000000007</v>
      </c>
      <c r="F30" s="204">
        <f t="shared" si="0"/>
        <v>894348.00000000012</v>
      </c>
    </row>
    <row r="31" spans="1:6" ht="18" customHeight="1" x14ac:dyDescent="0.25">
      <c r="A31" s="359">
        <v>29</v>
      </c>
      <c r="B31" s="148" t="s">
        <v>214</v>
      </c>
      <c r="C31" s="359" t="s">
        <v>182</v>
      </c>
      <c r="D31" s="372">
        <v>300</v>
      </c>
      <c r="E31" s="373">
        <v>3898.4400000000005</v>
      </c>
      <c r="F31" s="204">
        <f t="shared" si="0"/>
        <v>1169532.0000000002</v>
      </c>
    </row>
    <row r="32" spans="1:6" ht="18" customHeight="1" x14ac:dyDescent="0.25">
      <c r="A32" s="359">
        <v>30</v>
      </c>
      <c r="B32" s="148" t="s">
        <v>215</v>
      </c>
      <c r="C32" s="359" t="s">
        <v>189</v>
      </c>
      <c r="D32" s="148">
        <v>500</v>
      </c>
      <c r="E32" s="373">
        <v>2600</v>
      </c>
      <c r="F32" s="204">
        <f t="shared" si="0"/>
        <v>1300000</v>
      </c>
    </row>
    <row r="33" spans="1:6" ht="18" customHeight="1" x14ac:dyDescent="0.25">
      <c r="A33" s="359">
        <v>31</v>
      </c>
      <c r="B33" s="148" t="s">
        <v>216</v>
      </c>
      <c r="C33" s="359" t="s">
        <v>189</v>
      </c>
      <c r="D33" s="372">
        <v>400</v>
      </c>
      <c r="E33" s="373">
        <v>4563.2475000000004</v>
      </c>
      <c r="F33" s="204">
        <f t="shared" si="0"/>
        <v>1825299.0000000002</v>
      </c>
    </row>
    <row r="34" spans="1:6" ht="18" customHeight="1" x14ac:dyDescent="0.25">
      <c r="A34" s="359">
        <v>32</v>
      </c>
      <c r="B34" s="148" t="s">
        <v>217</v>
      </c>
      <c r="C34" s="359" t="s">
        <v>182</v>
      </c>
      <c r="D34" s="372">
        <v>50</v>
      </c>
      <c r="E34" s="373">
        <v>55770</v>
      </c>
      <c r="F34" s="204">
        <f t="shared" si="0"/>
        <v>2788500</v>
      </c>
    </row>
    <row r="35" spans="1:6" ht="18" customHeight="1" x14ac:dyDescent="0.25">
      <c r="A35" s="359">
        <v>33</v>
      </c>
      <c r="B35" s="148" t="s">
        <v>218</v>
      </c>
      <c r="C35" s="359" t="s">
        <v>189</v>
      </c>
      <c r="D35" s="148">
        <v>100</v>
      </c>
      <c r="E35" s="373">
        <v>0</v>
      </c>
      <c r="F35" s="204">
        <f t="shared" si="0"/>
        <v>0</v>
      </c>
    </row>
    <row r="36" spans="1:6" ht="18" customHeight="1" x14ac:dyDescent="0.25">
      <c r="A36" s="359">
        <v>34</v>
      </c>
      <c r="B36" s="148" t="s">
        <v>219</v>
      </c>
      <c r="C36" s="359" t="s">
        <v>182</v>
      </c>
      <c r="D36" s="148">
        <v>300</v>
      </c>
      <c r="E36" s="373">
        <v>0</v>
      </c>
      <c r="F36" s="204">
        <f t="shared" si="0"/>
        <v>0</v>
      </c>
    </row>
    <row r="37" spans="1:6" ht="18" customHeight="1" x14ac:dyDescent="0.25">
      <c r="A37" s="359">
        <v>35</v>
      </c>
      <c r="B37" s="148" t="s">
        <v>220</v>
      </c>
      <c r="C37" s="359" t="s">
        <v>182</v>
      </c>
      <c r="D37" s="372">
        <v>100</v>
      </c>
      <c r="E37" s="373">
        <v>18345.600000000002</v>
      </c>
      <c r="F37" s="204">
        <f t="shared" si="0"/>
        <v>1834560.0000000002</v>
      </c>
    </row>
    <row r="38" spans="1:6" ht="18" customHeight="1" x14ac:dyDescent="0.25">
      <c r="A38" s="359">
        <v>36</v>
      </c>
      <c r="B38" s="148" t="s">
        <v>221</v>
      </c>
      <c r="C38" s="359" t="s">
        <v>182</v>
      </c>
      <c r="D38" s="372">
        <v>50</v>
      </c>
      <c r="E38" s="373">
        <v>8943.4800000000014</v>
      </c>
      <c r="F38" s="204">
        <f t="shared" si="0"/>
        <v>447174.00000000006</v>
      </c>
    </row>
    <row r="39" spans="1:6" ht="18" customHeight="1" x14ac:dyDescent="0.25">
      <c r="A39" s="359">
        <v>37</v>
      </c>
      <c r="B39" s="148" t="s">
        <v>222</v>
      </c>
      <c r="C39" s="359" t="s">
        <v>189</v>
      </c>
      <c r="D39" s="148">
        <v>20</v>
      </c>
      <c r="E39" s="373">
        <v>0</v>
      </c>
      <c r="F39" s="204">
        <f t="shared" si="0"/>
        <v>0</v>
      </c>
    </row>
    <row r="40" spans="1:6" ht="18" customHeight="1" x14ac:dyDescent="0.25">
      <c r="A40" s="359">
        <v>38</v>
      </c>
      <c r="B40" s="148" t="s">
        <v>223</v>
      </c>
      <c r="C40" s="359" t="s">
        <v>189</v>
      </c>
      <c r="D40" s="372">
        <v>300</v>
      </c>
      <c r="E40" s="373">
        <v>8828.82</v>
      </c>
      <c r="F40" s="204">
        <f t="shared" si="0"/>
        <v>2648646</v>
      </c>
    </row>
    <row r="41" spans="1:6" ht="18" customHeight="1" x14ac:dyDescent="0.25">
      <c r="A41" s="359">
        <v>39</v>
      </c>
      <c r="B41" s="148" t="s">
        <v>224</v>
      </c>
      <c r="C41" s="359" t="s">
        <v>182</v>
      </c>
      <c r="D41" s="372">
        <v>5000</v>
      </c>
      <c r="E41" s="373">
        <v>1518.1424999999999</v>
      </c>
      <c r="F41" s="204">
        <f t="shared" si="0"/>
        <v>7590712.5</v>
      </c>
    </row>
    <row r="42" spans="1:6" ht="18" customHeight="1" x14ac:dyDescent="0.25">
      <c r="A42" s="359">
        <v>40</v>
      </c>
      <c r="B42" s="148" t="s">
        <v>225</v>
      </c>
      <c r="C42" s="359" t="s">
        <v>182</v>
      </c>
      <c r="D42" s="372">
        <v>600</v>
      </c>
      <c r="E42" s="373">
        <v>4013.1000000000004</v>
      </c>
      <c r="F42" s="204">
        <f t="shared" si="0"/>
        <v>2407860</v>
      </c>
    </row>
    <row r="43" spans="1:6" ht="18" customHeight="1" x14ac:dyDescent="0.25">
      <c r="A43" s="359">
        <v>41</v>
      </c>
      <c r="B43" s="148" t="s">
        <v>226</v>
      </c>
      <c r="C43" s="359" t="s">
        <v>182</v>
      </c>
      <c r="D43" s="372">
        <v>3000</v>
      </c>
      <c r="E43" s="373">
        <v>4013.1000000000004</v>
      </c>
      <c r="F43" s="204">
        <f t="shared" si="0"/>
        <v>12039300.000000002</v>
      </c>
    </row>
    <row r="44" spans="1:6" ht="18" customHeight="1" x14ac:dyDescent="0.25">
      <c r="A44" s="359">
        <v>42</v>
      </c>
      <c r="B44" s="374" t="s">
        <v>1681</v>
      </c>
      <c r="C44" s="363" t="s">
        <v>227</v>
      </c>
      <c r="D44" s="372">
        <v>1000</v>
      </c>
      <c r="E44" s="204">
        <v>10270</v>
      </c>
      <c r="F44" s="204">
        <f t="shared" si="0"/>
        <v>10270000</v>
      </c>
    </row>
    <row r="45" spans="1:6" ht="18" customHeight="1" x14ac:dyDescent="0.25">
      <c r="A45" s="359">
        <v>43</v>
      </c>
      <c r="B45" s="148" t="s">
        <v>228</v>
      </c>
      <c r="C45" s="359" t="s">
        <v>182</v>
      </c>
      <c r="D45" s="372">
        <v>1000</v>
      </c>
      <c r="E45" s="373">
        <v>62130.284999999996</v>
      </c>
      <c r="F45" s="204">
        <f t="shared" si="0"/>
        <v>62130284.999999993</v>
      </c>
    </row>
    <row r="46" spans="1:6" ht="18" customHeight="1" x14ac:dyDescent="0.25">
      <c r="A46" s="359">
        <v>44</v>
      </c>
      <c r="B46" s="148" t="s">
        <v>229</v>
      </c>
      <c r="C46" s="359" t="s">
        <v>182</v>
      </c>
      <c r="D46" s="372">
        <v>1000</v>
      </c>
      <c r="E46" s="373">
        <v>154791</v>
      </c>
      <c r="F46" s="204">
        <f t="shared" si="0"/>
        <v>154791000</v>
      </c>
    </row>
    <row r="47" spans="1:6" ht="18" customHeight="1" x14ac:dyDescent="0.25">
      <c r="A47" s="359">
        <v>45</v>
      </c>
      <c r="B47" s="148" t="s">
        <v>230</v>
      </c>
      <c r="C47" s="359" t="s">
        <v>182</v>
      </c>
      <c r="D47" s="372">
        <v>50</v>
      </c>
      <c r="E47" s="373">
        <v>25225.200000000001</v>
      </c>
      <c r="F47" s="204">
        <f t="shared" si="0"/>
        <v>1261260</v>
      </c>
    </row>
    <row r="48" spans="1:6" ht="18" customHeight="1" x14ac:dyDescent="0.25">
      <c r="A48" s="359">
        <v>46</v>
      </c>
      <c r="B48" s="148" t="s">
        <v>231</v>
      </c>
      <c r="C48" s="359" t="s">
        <v>182</v>
      </c>
      <c r="D48" s="372">
        <v>100</v>
      </c>
      <c r="E48" s="373">
        <v>11809.980000000001</v>
      </c>
      <c r="F48" s="204">
        <f t="shared" si="0"/>
        <v>1180998.0000000002</v>
      </c>
    </row>
    <row r="49" spans="1:6" ht="18" customHeight="1" x14ac:dyDescent="0.25">
      <c r="A49" s="348"/>
      <c r="B49" s="191"/>
      <c r="C49" s="213"/>
      <c r="D49" s="375"/>
      <c r="E49" s="356" t="s">
        <v>284</v>
      </c>
      <c r="F49" s="151">
        <f>SUM(F3:F48)</f>
        <v>372652387.5</v>
      </c>
    </row>
    <row r="50" spans="1:6" ht="18" customHeight="1" x14ac:dyDescent="0.25">
      <c r="A50" s="360"/>
      <c r="B50" s="191"/>
      <c r="C50" s="194"/>
      <c r="D50" s="376"/>
      <c r="E50" s="356" t="s">
        <v>159</v>
      </c>
      <c r="F50" s="151">
        <f>F49*0.16</f>
        <v>59624382</v>
      </c>
    </row>
    <row r="51" spans="1:6" ht="18" customHeight="1" x14ac:dyDescent="0.25">
      <c r="A51" s="360"/>
      <c r="B51" s="191"/>
      <c r="C51" s="194"/>
      <c r="D51" s="376"/>
      <c r="E51" s="356" t="s">
        <v>298</v>
      </c>
      <c r="F51" s="196">
        <f>SUM(F49:F50)</f>
        <v>432276769.5</v>
      </c>
    </row>
  </sheetData>
  <mergeCells count="1">
    <mergeCell ref="A1:F1"/>
  </mergeCells>
  <pageMargins left="0.7" right="0.7" top="0.75" bottom="0.75" header="0.3" footer="0.3"/>
  <pageSetup paperSize="5" scale="90"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tabColor rgb="FF00B0F0"/>
  </sheetPr>
  <dimension ref="B5:D11"/>
  <sheetViews>
    <sheetView view="pageLayout" workbookViewId="0">
      <selection activeCell="B5" sqref="B5:D11"/>
    </sheetView>
  </sheetViews>
  <sheetFormatPr baseColWidth="10" defaultRowHeight="12" x14ac:dyDescent="0.2"/>
  <cols>
    <col min="1" max="2" width="11.42578125" style="753"/>
    <col min="3" max="3" width="47.42578125" style="753" customWidth="1"/>
    <col min="4" max="4" width="19.140625" style="753" customWidth="1"/>
    <col min="5" max="16384" width="11.42578125" style="753"/>
  </cols>
  <sheetData>
    <row r="5" spans="2:4" ht="12.75" x14ac:dyDescent="0.2">
      <c r="B5" s="983" t="s">
        <v>711</v>
      </c>
      <c r="C5" s="983"/>
      <c r="D5" s="983"/>
    </row>
    <row r="6" spans="2:4" ht="36" customHeight="1" x14ac:dyDescent="0.2">
      <c r="B6" s="866" t="s">
        <v>1928</v>
      </c>
      <c r="C6" s="866"/>
      <c r="D6" s="866"/>
    </row>
    <row r="7" spans="2:4" ht="15" customHeight="1" x14ac:dyDescent="0.2">
      <c r="B7" s="1067" t="s">
        <v>233</v>
      </c>
      <c r="C7" s="1067" t="s">
        <v>0</v>
      </c>
      <c r="D7" s="1067" t="s">
        <v>164</v>
      </c>
    </row>
    <row r="8" spans="2:4" x14ac:dyDescent="0.2">
      <c r="B8" s="1068"/>
      <c r="C8" s="1068"/>
      <c r="D8" s="1068"/>
    </row>
    <row r="9" spans="2:4" ht="12.75" x14ac:dyDescent="0.2">
      <c r="B9" s="754">
        <v>1</v>
      </c>
      <c r="C9" s="755" t="s">
        <v>712</v>
      </c>
      <c r="D9" s="84">
        <v>14658851</v>
      </c>
    </row>
    <row r="10" spans="2:4" ht="12.75" x14ac:dyDescent="0.2">
      <c r="B10" s="754">
        <v>2</v>
      </c>
      <c r="C10" s="755" t="s">
        <v>713</v>
      </c>
      <c r="D10" s="756">
        <v>34203986</v>
      </c>
    </row>
    <row r="11" spans="2:4" ht="12.75" x14ac:dyDescent="0.2">
      <c r="B11" s="860" t="s">
        <v>710</v>
      </c>
      <c r="C11" s="862"/>
      <c r="D11" s="757">
        <f>SUM(D9:D10)</f>
        <v>48862837</v>
      </c>
    </row>
  </sheetData>
  <mergeCells count="6">
    <mergeCell ref="B5:D5"/>
    <mergeCell ref="B6:D6"/>
    <mergeCell ref="B11:C11"/>
    <mergeCell ref="B7:B8"/>
    <mergeCell ref="C7:C8"/>
    <mergeCell ref="D7:D8"/>
  </mergeCells>
  <printOptions horizontalCentered="1"/>
  <pageMargins left="0.7" right="0.7" top="1.1100000000000001" bottom="1.25" header="0.66" footer="0.73"/>
  <pageSetup paperSize="5"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dimension ref="A1:C16"/>
  <sheetViews>
    <sheetView view="pageLayout" workbookViewId="0">
      <selection activeCell="A2" sqref="A2:C2"/>
    </sheetView>
  </sheetViews>
  <sheetFormatPr baseColWidth="10" defaultRowHeight="15" x14ac:dyDescent="0.25"/>
  <cols>
    <col min="1" max="1" width="6.7109375" bestFit="1" customWidth="1"/>
    <col min="2" max="2" width="48.7109375" customWidth="1"/>
    <col min="3" max="3" width="22.7109375" customWidth="1"/>
  </cols>
  <sheetData>
    <row r="1" spans="1:3" ht="15.75" x14ac:dyDescent="0.25">
      <c r="A1" s="1070" t="s">
        <v>538</v>
      </c>
      <c r="B1" s="1070"/>
      <c r="C1" s="1070"/>
    </row>
    <row r="2" spans="1:3" ht="15.75" x14ac:dyDescent="0.25">
      <c r="A2" s="1070" t="s">
        <v>1427</v>
      </c>
      <c r="B2" s="1070"/>
      <c r="C2" s="1070"/>
    </row>
    <row r="3" spans="1:3" x14ac:dyDescent="0.25">
      <c r="A3" s="1064" t="s">
        <v>1343</v>
      </c>
      <c r="B3" s="1064"/>
      <c r="C3" s="1064"/>
    </row>
    <row r="4" spans="1:3" ht="27" customHeight="1" x14ac:dyDescent="0.25">
      <c r="A4" s="1071" t="s">
        <v>1344</v>
      </c>
      <c r="B4" s="1071"/>
      <c r="C4" s="1071"/>
    </row>
    <row r="5" spans="1:3" x14ac:dyDescent="0.25">
      <c r="A5" s="1071" t="s">
        <v>1345</v>
      </c>
      <c r="B5" s="1071"/>
      <c r="C5" s="1071"/>
    </row>
    <row r="6" spans="1:3" x14ac:dyDescent="0.25">
      <c r="A6" s="18" t="s">
        <v>299</v>
      </c>
      <c r="B6" s="14" t="s">
        <v>0</v>
      </c>
      <c r="C6" s="14" t="s">
        <v>164</v>
      </c>
    </row>
    <row r="7" spans="1:3" x14ac:dyDescent="0.25">
      <c r="A7" s="19">
        <v>1</v>
      </c>
      <c r="B7" s="55" t="s">
        <v>1346</v>
      </c>
      <c r="C7" s="68">
        <v>1183943900</v>
      </c>
    </row>
    <row r="8" spans="1:3" x14ac:dyDescent="0.25">
      <c r="A8" s="19">
        <v>2</v>
      </c>
      <c r="B8" s="55" t="s">
        <v>1347</v>
      </c>
      <c r="C8" s="68">
        <v>2137613375</v>
      </c>
    </row>
    <row r="9" spans="1:3" x14ac:dyDescent="0.25">
      <c r="A9" s="19">
        <v>3</v>
      </c>
      <c r="B9" s="55" t="s">
        <v>1348</v>
      </c>
      <c r="C9" s="68">
        <v>1406498143</v>
      </c>
    </row>
    <row r="10" spans="1:3" x14ac:dyDescent="0.25">
      <c r="A10" s="19">
        <v>4</v>
      </c>
      <c r="B10" s="55" t="s">
        <v>1349</v>
      </c>
      <c r="C10" s="68">
        <v>2682428330</v>
      </c>
    </row>
    <row r="11" spans="1:3" x14ac:dyDescent="0.25">
      <c r="A11" s="19">
        <v>5</v>
      </c>
      <c r="B11" s="55" t="s">
        <v>1350</v>
      </c>
      <c r="C11" s="68">
        <v>291730551</v>
      </c>
    </row>
    <row r="12" spans="1:3" x14ac:dyDescent="0.25">
      <c r="A12" s="19">
        <v>6</v>
      </c>
      <c r="B12" s="55" t="s">
        <v>1351</v>
      </c>
      <c r="C12" s="68">
        <v>246299296</v>
      </c>
    </row>
    <row r="13" spans="1:3" x14ac:dyDescent="0.25">
      <c r="A13" s="19">
        <v>7</v>
      </c>
      <c r="B13" s="55" t="s">
        <v>1352</v>
      </c>
      <c r="C13" s="68">
        <v>661926395</v>
      </c>
    </row>
    <row r="14" spans="1:3" x14ac:dyDescent="0.25">
      <c r="A14" s="19">
        <v>8</v>
      </c>
      <c r="B14" s="55" t="s">
        <v>1353</v>
      </c>
      <c r="C14" s="68">
        <f>(1155000000*0.05)+1155000000</f>
        <v>1212750000</v>
      </c>
    </row>
    <row r="15" spans="1:3" x14ac:dyDescent="0.25">
      <c r="A15" s="19">
        <v>9</v>
      </c>
      <c r="B15" s="55" t="s">
        <v>1354</v>
      </c>
      <c r="C15" s="68">
        <f>(210000000*0.05)+210000000</f>
        <v>220500000</v>
      </c>
    </row>
    <row r="16" spans="1:3" x14ac:dyDescent="0.25">
      <c r="A16" s="1069" t="s">
        <v>710</v>
      </c>
      <c r="B16" s="1069"/>
      <c r="C16" s="69">
        <f>SUM(C7:C15)</f>
        <v>10043689990</v>
      </c>
    </row>
  </sheetData>
  <mergeCells count="6">
    <mergeCell ref="A16:B16"/>
    <mergeCell ref="A1:C1"/>
    <mergeCell ref="A2:C2"/>
    <mergeCell ref="A3:C3"/>
    <mergeCell ref="A4:C4"/>
    <mergeCell ref="A5:C5"/>
  </mergeCells>
  <printOptions horizontalCentered="1"/>
  <pageMargins left="0.7" right="0.7" top="0.75" bottom="1.32" header="0.3" footer="0.79"/>
  <pageSetup paperSize="5" orientation="landscape" r:id="rId1"/>
  <headerFooter>
    <oddFooter xml:space="preserve">&amp;C116
</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view="pageLayout" topLeftCell="A2" zoomScaleNormal="100" workbookViewId="0">
      <selection activeCell="B5" sqref="B5:D20"/>
    </sheetView>
  </sheetViews>
  <sheetFormatPr baseColWidth="10" defaultRowHeight="15" x14ac:dyDescent="0.25"/>
  <cols>
    <col min="1" max="1" width="11.42578125" style="113"/>
    <col min="2" max="2" width="11.5703125" customWidth="1"/>
    <col min="3" max="3" width="45.7109375" customWidth="1"/>
    <col min="4" max="4" width="22.5703125" customWidth="1"/>
  </cols>
  <sheetData>
    <row r="1" spans="2:4" s="113" customFormat="1" x14ac:dyDescent="0.25"/>
    <row r="2" spans="2:4" s="113" customFormat="1" x14ac:dyDescent="0.25"/>
    <row r="3" spans="2:4" s="113" customFormat="1" x14ac:dyDescent="0.25"/>
    <row r="4" spans="2:4" s="113" customFormat="1" x14ac:dyDescent="0.25"/>
    <row r="5" spans="2:4" ht="15.75" x14ac:dyDescent="0.25">
      <c r="B5" s="1073" t="s">
        <v>538</v>
      </c>
      <c r="C5" s="1073"/>
      <c r="D5" s="1073"/>
    </row>
    <row r="6" spans="2:4" ht="15.75" x14ac:dyDescent="0.25">
      <c r="B6" s="1073" t="s">
        <v>1427</v>
      </c>
      <c r="C6" s="1073"/>
      <c r="D6" s="1073"/>
    </row>
    <row r="7" spans="2:4" x14ac:dyDescent="0.25">
      <c r="B7" s="1074" t="s">
        <v>1343</v>
      </c>
      <c r="C7" s="1074"/>
      <c r="D7" s="1074"/>
    </row>
    <row r="8" spans="2:4" ht="51" customHeight="1" x14ac:dyDescent="0.25">
      <c r="B8" s="1075" t="s">
        <v>1929</v>
      </c>
      <c r="C8" s="1075"/>
      <c r="D8" s="1075"/>
    </row>
    <row r="9" spans="2:4" x14ac:dyDescent="0.25">
      <c r="B9" s="1075" t="s">
        <v>1345</v>
      </c>
      <c r="C9" s="1075"/>
      <c r="D9" s="1075"/>
    </row>
    <row r="10" spans="2:4" x14ac:dyDescent="0.25">
      <c r="B10" s="759" t="s">
        <v>299</v>
      </c>
      <c r="C10" s="760" t="s">
        <v>0</v>
      </c>
      <c r="D10" s="760" t="s">
        <v>164</v>
      </c>
    </row>
    <row r="11" spans="2:4" x14ac:dyDescent="0.25">
      <c r="B11" s="761">
        <v>1</v>
      </c>
      <c r="C11" s="762" t="s">
        <v>1930</v>
      </c>
      <c r="D11" s="763">
        <v>909739150</v>
      </c>
    </row>
    <row r="12" spans="2:4" x14ac:dyDescent="0.25">
      <c r="B12" s="761">
        <v>2</v>
      </c>
      <c r="C12" s="762" t="s">
        <v>1347</v>
      </c>
      <c r="D12" s="763">
        <v>1138160390</v>
      </c>
    </row>
    <row r="13" spans="2:4" x14ac:dyDescent="0.25">
      <c r="B13" s="761">
        <v>3</v>
      </c>
      <c r="C13" s="762" t="s">
        <v>1348</v>
      </c>
      <c r="D13" s="763">
        <v>851871780</v>
      </c>
    </row>
    <row r="14" spans="2:4" x14ac:dyDescent="0.25">
      <c r="B14" s="761">
        <v>4</v>
      </c>
      <c r="C14" s="762" t="s">
        <v>1349</v>
      </c>
      <c r="D14" s="763">
        <v>403521660</v>
      </c>
    </row>
    <row r="15" spans="2:4" x14ac:dyDescent="0.25">
      <c r="B15" s="761">
        <v>5</v>
      </c>
      <c r="C15" s="762" t="s">
        <v>1350</v>
      </c>
      <c r="D15" s="763">
        <v>380010200</v>
      </c>
    </row>
    <row r="16" spans="2:4" x14ac:dyDescent="0.25">
      <c r="B16" s="761">
        <v>6</v>
      </c>
      <c r="C16" s="762" t="s">
        <v>1351</v>
      </c>
      <c r="D16" s="763">
        <v>313905900</v>
      </c>
    </row>
    <row r="17" spans="2:4" s="10" customFormat="1" x14ac:dyDescent="0.25">
      <c r="B17" s="778">
        <v>7</v>
      </c>
      <c r="C17" s="779" t="s">
        <v>1352</v>
      </c>
      <c r="D17" s="780">
        <v>252921238</v>
      </c>
    </row>
    <row r="18" spans="2:4" s="10" customFormat="1" x14ac:dyDescent="0.25">
      <c r="B18" s="778">
        <v>8</v>
      </c>
      <c r="C18" s="779" t="s">
        <v>1353</v>
      </c>
      <c r="D18" s="780">
        <v>1212750000</v>
      </c>
    </row>
    <row r="19" spans="2:4" s="10" customFormat="1" x14ac:dyDescent="0.25">
      <c r="B19" s="778">
        <v>9</v>
      </c>
      <c r="C19" s="779" t="s">
        <v>1948</v>
      </c>
      <c r="D19" s="780">
        <v>260000000</v>
      </c>
    </row>
    <row r="20" spans="2:4" ht="30" customHeight="1" x14ac:dyDescent="0.25">
      <c r="B20" s="1072" t="s">
        <v>710</v>
      </c>
      <c r="C20" s="1072"/>
      <c r="D20" s="764">
        <f>SUM(D11:D19)</f>
        <v>5722880318</v>
      </c>
    </row>
  </sheetData>
  <mergeCells count="6">
    <mergeCell ref="B20:C20"/>
    <mergeCell ref="B5:D5"/>
    <mergeCell ref="B6:D6"/>
    <mergeCell ref="B7:D7"/>
    <mergeCell ref="B8:D8"/>
    <mergeCell ref="B9:D9"/>
  </mergeCells>
  <pageMargins left="0.7" right="0.7" top="0.75" bottom="0.75" header="0.3" footer="0.3"/>
  <pageSetup paperSize="5" scale="95"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tabColor rgb="FF00B0F0"/>
  </sheetPr>
  <dimension ref="A1:F196"/>
  <sheetViews>
    <sheetView view="pageLayout" topLeftCell="A136" workbookViewId="0">
      <selection sqref="A1:F1"/>
    </sheetView>
  </sheetViews>
  <sheetFormatPr baseColWidth="10" defaultRowHeight="15" x14ac:dyDescent="0.25"/>
  <cols>
    <col min="2" max="2" width="39.140625" customWidth="1"/>
    <col min="6" max="6" width="15" customWidth="1"/>
  </cols>
  <sheetData>
    <row r="1" spans="1:6" ht="15.75" x14ac:dyDescent="0.25">
      <c r="A1" s="1076" t="s">
        <v>1428</v>
      </c>
      <c r="B1" s="1077"/>
      <c r="C1" s="1077"/>
      <c r="D1" s="1077"/>
      <c r="E1" s="1077"/>
      <c r="F1" s="1078"/>
    </row>
    <row r="2" spans="1:6" ht="24.75" thickBot="1" x14ac:dyDescent="0.3">
      <c r="A2" s="29" t="s">
        <v>299</v>
      </c>
      <c r="B2" s="30" t="s">
        <v>374</v>
      </c>
      <c r="C2" s="30" t="s">
        <v>714</v>
      </c>
      <c r="D2" s="31" t="s">
        <v>715</v>
      </c>
      <c r="E2" s="30" t="s">
        <v>285</v>
      </c>
      <c r="F2" s="32" t="s">
        <v>164</v>
      </c>
    </row>
    <row r="3" spans="1:6" x14ac:dyDescent="0.25">
      <c r="A3" s="33">
        <v>1</v>
      </c>
      <c r="B3" s="34" t="s">
        <v>716</v>
      </c>
      <c r="C3" s="35" t="s">
        <v>717</v>
      </c>
      <c r="D3" s="36">
        <v>2000</v>
      </c>
      <c r="E3" s="90">
        <v>735</v>
      </c>
      <c r="F3" s="91">
        <f>+E3*D3</f>
        <v>1470000</v>
      </c>
    </row>
    <row r="4" spans="1:6" ht="25.5" x14ac:dyDescent="0.25">
      <c r="A4" s="37">
        <v>2</v>
      </c>
      <c r="B4" s="13" t="s">
        <v>718</v>
      </c>
      <c r="C4" s="35" t="s">
        <v>719</v>
      </c>
      <c r="D4" s="25">
        <v>30</v>
      </c>
      <c r="E4" s="81">
        <v>923</v>
      </c>
      <c r="F4" s="91">
        <f t="shared" ref="F4:F67" si="0">+E4*D4</f>
        <v>27690</v>
      </c>
    </row>
    <row r="5" spans="1:6" x14ac:dyDescent="0.25">
      <c r="A5" s="33">
        <v>3</v>
      </c>
      <c r="B5" s="13" t="s">
        <v>720</v>
      </c>
      <c r="C5" s="35" t="s">
        <v>721</v>
      </c>
      <c r="D5" s="25">
        <v>6000</v>
      </c>
      <c r="E5" s="81">
        <v>1650</v>
      </c>
      <c r="F5" s="91">
        <f t="shared" si="0"/>
        <v>9900000</v>
      </c>
    </row>
    <row r="6" spans="1:6" x14ac:dyDescent="0.25">
      <c r="A6" s="37">
        <v>4</v>
      </c>
      <c r="B6" s="13" t="s">
        <v>722</v>
      </c>
      <c r="C6" s="35" t="s">
        <v>723</v>
      </c>
      <c r="D6" s="25">
        <v>50000</v>
      </c>
      <c r="E6" s="81">
        <v>55</v>
      </c>
      <c r="F6" s="91">
        <f t="shared" si="0"/>
        <v>2750000</v>
      </c>
    </row>
    <row r="7" spans="1:6" x14ac:dyDescent="0.25">
      <c r="A7" s="33">
        <v>5</v>
      </c>
      <c r="B7" s="13" t="s">
        <v>724</v>
      </c>
      <c r="C7" s="35" t="s">
        <v>725</v>
      </c>
      <c r="D7" s="25">
        <v>1</v>
      </c>
      <c r="E7" s="81">
        <v>19031.349999999999</v>
      </c>
      <c r="F7" s="91">
        <f t="shared" si="0"/>
        <v>19031.349999999999</v>
      </c>
    </row>
    <row r="8" spans="1:6" x14ac:dyDescent="0.25">
      <c r="A8" s="37">
        <v>6</v>
      </c>
      <c r="B8" s="13" t="s">
        <v>726</v>
      </c>
      <c r="C8" s="35" t="s">
        <v>727</v>
      </c>
      <c r="D8" s="25">
        <v>6000</v>
      </c>
      <c r="E8" s="81">
        <v>453</v>
      </c>
      <c r="F8" s="91">
        <f t="shared" si="0"/>
        <v>2718000</v>
      </c>
    </row>
    <row r="9" spans="1:6" x14ac:dyDescent="0.25">
      <c r="A9" s="33">
        <v>7</v>
      </c>
      <c r="B9" s="15" t="s">
        <v>728</v>
      </c>
      <c r="C9" s="35" t="s">
        <v>723</v>
      </c>
      <c r="D9" s="25">
        <v>20</v>
      </c>
      <c r="E9" s="81">
        <v>4300</v>
      </c>
      <c r="F9" s="91">
        <f t="shared" si="0"/>
        <v>86000</v>
      </c>
    </row>
    <row r="10" spans="1:6" ht="22.5" x14ac:dyDescent="0.25">
      <c r="A10" s="37">
        <v>8</v>
      </c>
      <c r="B10" s="15" t="s">
        <v>729</v>
      </c>
      <c r="C10" s="35" t="s">
        <v>730</v>
      </c>
      <c r="D10" s="25">
        <v>400</v>
      </c>
      <c r="E10" s="81">
        <v>1800</v>
      </c>
      <c r="F10" s="91">
        <f t="shared" si="0"/>
        <v>720000</v>
      </c>
    </row>
    <row r="11" spans="1:6" ht="22.5" x14ac:dyDescent="0.25">
      <c r="A11" s="33">
        <v>9</v>
      </c>
      <c r="B11" s="15" t="s">
        <v>731</v>
      </c>
      <c r="C11" s="35" t="s">
        <v>732</v>
      </c>
      <c r="D11" s="25"/>
      <c r="E11" s="81">
        <v>6428.5</v>
      </c>
      <c r="F11" s="91">
        <f t="shared" si="0"/>
        <v>0</v>
      </c>
    </row>
    <row r="12" spans="1:6" x14ac:dyDescent="0.25">
      <c r="A12" s="37">
        <v>10</v>
      </c>
      <c r="B12" s="15" t="s">
        <v>733</v>
      </c>
      <c r="C12" s="38" t="s">
        <v>723</v>
      </c>
      <c r="D12" s="25">
        <v>6400</v>
      </c>
      <c r="E12" s="81">
        <v>22</v>
      </c>
      <c r="F12" s="91">
        <f t="shared" si="0"/>
        <v>140800</v>
      </c>
    </row>
    <row r="13" spans="1:6" x14ac:dyDescent="0.25">
      <c r="A13" s="33">
        <v>11</v>
      </c>
      <c r="B13" s="15" t="s">
        <v>734</v>
      </c>
      <c r="C13" s="38" t="s">
        <v>723</v>
      </c>
      <c r="D13" s="25">
        <v>400</v>
      </c>
      <c r="E13" s="81">
        <v>82</v>
      </c>
      <c r="F13" s="91">
        <f t="shared" si="0"/>
        <v>32800</v>
      </c>
    </row>
    <row r="14" spans="1:6" x14ac:dyDescent="0.25">
      <c r="A14" s="37">
        <v>12</v>
      </c>
      <c r="B14" s="15" t="s">
        <v>735</v>
      </c>
      <c r="C14" s="38" t="s">
        <v>717</v>
      </c>
      <c r="D14" s="25">
        <v>200</v>
      </c>
      <c r="E14" s="81">
        <v>1280</v>
      </c>
      <c r="F14" s="91">
        <f t="shared" si="0"/>
        <v>256000</v>
      </c>
    </row>
    <row r="15" spans="1:6" x14ac:dyDescent="0.25">
      <c r="A15" s="33">
        <v>13</v>
      </c>
      <c r="B15" s="15" t="s">
        <v>736</v>
      </c>
      <c r="C15" s="38" t="s">
        <v>721</v>
      </c>
      <c r="D15" s="25">
        <v>24</v>
      </c>
      <c r="E15" s="81">
        <v>187900</v>
      </c>
      <c r="F15" s="91">
        <f t="shared" si="0"/>
        <v>4509600</v>
      </c>
    </row>
    <row r="16" spans="1:6" x14ac:dyDescent="0.25">
      <c r="A16" s="37">
        <v>14</v>
      </c>
      <c r="B16" s="15" t="s">
        <v>737</v>
      </c>
      <c r="C16" s="38" t="s">
        <v>738</v>
      </c>
      <c r="D16" s="25">
        <v>1</v>
      </c>
      <c r="E16" s="81">
        <v>8094</v>
      </c>
      <c r="F16" s="91">
        <f t="shared" si="0"/>
        <v>8094</v>
      </c>
    </row>
    <row r="17" spans="1:6" x14ac:dyDescent="0.25">
      <c r="A17" s="33">
        <v>15</v>
      </c>
      <c r="B17" s="15" t="s">
        <v>739</v>
      </c>
      <c r="C17" s="38" t="s">
        <v>717</v>
      </c>
      <c r="D17" s="25">
        <v>240</v>
      </c>
      <c r="E17" s="81">
        <v>157</v>
      </c>
      <c r="F17" s="91">
        <f t="shared" si="0"/>
        <v>37680</v>
      </c>
    </row>
    <row r="18" spans="1:6" x14ac:dyDescent="0.25">
      <c r="A18" s="37">
        <v>16</v>
      </c>
      <c r="B18" s="15" t="s">
        <v>740</v>
      </c>
      <c r="C18" s="38" t="s">
        <v>723</v>
      </c>
      <c r="D18" s="25">
        <v>4000</v>
      </c>
      <c r="E18" s="81">
        <v>172</v>
      </c>
      <c r="F18" s="91">
        <f t="shared" si="0"/>
        <v>688000</v>
      </c>
    </row>
    <row r="19" spans="1:6" x14ac:dyDescent="0.25">
      <c r="A19" s="33">
        <v>17</v>
      </c>
      <c r="B19" s="15" t="s">
        <v>741</v>
      </c>
      <c r="C19" s="38" t="s">
        <v>730</v>
      </c>
      <c r="D19" s="25">
        <v>200</v>
      </c>
      <c r="E19" s="81">
        <v>3900</v>
      </c>
      <c r="F19" s="91">
        <f t="shared" si="0"/>
        <v>780000</v>
      </c>
    </row>
    <row r="20" spans="1:6" x14ac:dyDescent="0.25">
      <c r="A20" s="37">
        <v>18</v>
      </c>
      <c r="B20" s="15" t="s">
        <v>742</v>
      </c>
      <c r="C20" s="38" t="s">
        <v>717</v>
      </c>
      <c r="D20" s="25">
        <v>200</v>
      </c>
      <c r="E20" s="81">
        <v>4520</v>
      </c>
      <c r="F20" s="91">
        <f t="shared" si="0"/>
        <v>904000</v>
      </c>
    </row>
    <row r="21" spans="1:6" x14ac:dyDescent="0.25">
      <c r="A21" s="33">
        <v>19</v>
      </c>
      <c r="B21" s="15" t="s">
        <v>743</v>
      </c>
      <c r="C21" s="38" t="s">
        <v>717</v>
      </c>
      <c r="D21" s="25">
        <v>25000</v>
      </c>
      <c r="E21" s="81">
        <v>4141.1499999999996</v>
      </c>
      <c r="F21" s="91">
        <f t="shared" si="0"/>
        <v>103528749.99999999</v>
      </c>
    </row>
    <row r="22" spans="1:6" x14ac:dyDescent="0.25">
      <c r="A22" s="37">
        <v>20</v>
      </c>
      <c r="B22" s="15" t="s">
        <v>744</v>
      </c>
      <c r="C22" s="38" t="s">
        <v>723</v>
      </c>
      <c r="D22" s="25">
        <v>15000</v>
      </c>
      <c r="E22" s="81">
        <v>185</v>
      </c>
      <c r="F22" s="91">
        <f t="shared" si="0"/>
        <v>2775000</v>
      </c>
    </row>
    <row r="23" spans="1:6" x14ac:dyDescent="0.25">
      <c r="A23" s="33">
        <v>21</v>
      </c>
      <c r="B23" s="15" t="s">
        <v>745</v>
      </c>
      <c r="C23" s="38" t="s">
        <v>719</v>
      </c>
      <c r="D23" s="25">
        <v>120</v>
      </c>
      <c r="E23" s="81">
        <v>2170</v>
      </c>
      <c r="F23" s="91">
        <f t="shared" si="0"/>
        <v>260400</v>
      </c>
    </row>
    <row r="24" spans="1:6" x14ac:dyDescent="0.25">
      <c r="A24" s="37">
        <v>22</v>
      </c>
      <c r="B24" s="15" t="s">
        <v>746</v>
      </c>
      <c r="C24" s="38" t="s">
        <v>747</v>
      </c>
      <c r="D24" s="25">
        <v>400</v>
      </c>
      <c r="E24" s="81">
        <v>900</v>
      </c>
      <c r="F24" s="91">
        <f t="shared" si="0"/>
        <v>360000</v>
      </c>
    </row>
    <row r="25" spans="1:6" x14ac:dyDescent="0.25">
      <c r="A25" s="33">
        <v>23</v>
      </c>
      <c r="B25" s="15" t="s">
        <v>748</v>
      </c>
      <c r="C25" s="38" t="s">
        <v>749</v>
      </c>
      <c r="D25" s="25">
        <v>50</v>
      </c>
      <c r="E25" s="81">
        <v>1100</v>
      </c>
      <c r="F25" s="91">
        <f t="shared" si="0"/>
        <v>55000</v>
      </c>
    </row>
    <row r="26" spans="1:6" ht="25.5" x14ac:dyDescent="0.25">
      <c r="A26" s="37">
        <v>24</v>
      </c>
      <c r="B26" s="13" t="s">
        <v>750</v>
      </c>
      <c r="C26" s="38" t="s">
        <v>751</v>
      </c>
      <c r="D26" s="25">
        <v>200</v>
      </c>
      <c r="E26" s="81">
        <v>5600</v>
      </c>
      <c r="F26" s="91">
        <f t="shared" si="0"/>
        <v>1120000</v>
      </c>
    </row>
    <row r="27" spans="1:6" x14ac:dyDescent="0.25">
      <c r="A27" s="33">
        <v>25</v>
      </c>
      <c r="B27" s="13" t="s">
        <v>752</v>
      </c>
      <c r="C27" s="38" t="s">
        <v>723</v>
      </c>
      <c r="D27" s="25">
        <v>700</v>
      </c>
      <c r="E27" s="81">
        <v>390</v>
      </c>
      <c r="F27" s="91">
        <f t="shared" si="0"/>
        <v>273000</v>
      </c>
    </row>
    <row r="28" spans="1:6" x14ac:dyDescent="0.25">
      <c r="A28" s="37">
        <v>26</v>
      </c>
      <c r="B28" s="13" t="s">
        <v>753</v>
      </c>
      <c r="C28" s="38" t="s">
        <v>754</v>
      </c>
      <c r="D28" s="25">
        <v>10</v>
      </c>
      <c r="E28" s="81">
        <v>7017</v>
      </c>
      <c r="F28" s="91">
        <f t="shared" si="0"/>
        <v>70170</v>
      </c>
    </row>
    <row r="29" spans="1:6" x14ac:dyDescent="0.25">
      <c r="A29" s="33">
        <v>27</v>
      </c>
      <c r="B29" s="15" t="s">
        <v>755</v>
      </c>
      <c r="C29" s="38" t="s">
        <v>756</v>
      </c>
      <c r="D29" s="25">
        <v>5</v>
      </c>
      <c r="E29" s="81">
        <v>145</v>
      </c>
      <c r="F29" s="91">
        <f t="shared" si="0"/>
        <v>725</v>
      </c>
    </row>
    <row r="30" spans="1:6" x14ac:dyDescent="0.25">
      <c r="A30" s="37">
        <v>28</v>
      </c>
      <c r="B30" s="15" t="s">
        <v>757</v>
      </c>
      <c r="C30" s="38" t="s">
        <v>717</v>
      </c>
      <c r="D30" s="25">
        <v>1500</v>
      </c>
      <c r="E30" s="81">
        <v>2242.5</v>
      </c>
      <c r="F30" s="91">
        <f t="shared" si="0"/>
        <v>3363750</v>
      </c>
    </row>
    <row r="31" spans="1:6" x14ac:dyDescent="0.25">
      <c r="A31" s="33">
        <v>29</v>
      </c>
      <c r="B31" s="15" t="s">
        <v>758</v>
      </c>
      <c r="C31" s="38" t="s">
        <v>721</v>
      </c>
      <c r="D31" s="25">
        <v>1200</v>
      </c>
      <c r="E31" s="81">
        <v>38510</v>
      </c>
      <c r="F31" s="91">
        <f t="shared" si="0"/>
        <v>46212000</v>
      </c>
    </row>
    <row r="32" spans="1:6" x14ac:dyDescent="0.25">
      <c r="A32" s="37">
        <v>30</v>
      </c>
      <c r="B32" s="15" t="s">
        <v>759</v>
      </c>
      <c r="C32" s="38" t="s">
        <v>760</v>
      </c>
      <c r="D32" s="25">
        <v>800</v>
      </c>
      <c r="E32" s="81">
        <v>138</v>
      </c>
      <c r="F32" s="91">
        <f t="shared" si="0"/>
        <v>110400</v>
      </c>
    </row>
    <row r="33" spans="1:6" x14ac:dyDescent="0.25">
      <c r="A33" s="33">
        <v>31</v>
      </c>
      <c r="B33" s="15" t="s">
        <v>761</v>
      </c>
      <c r="C33" s="38" t="s">
        <v>717</v>
      </c>
      <c r="D33" s="25">
        <v>40</v>
      </c>
      <c r="E33" s="81">
        <v>2450</v>
      </c>
      <c r="F33" s="91">
        <f t="shared" si="0"/>
        <v>98000</v>
      </c>
    </row>
    <row r="34" spans="1:6" x14ac:dyDescent="0.25">
      <c r="A34" s="37">
        <v>32</v>
      </c>
      <c r="B34" s="15" t="s">
        <v>762</v>
      </c>
      <c r="C34" s="38" t="s">
        <v>717</v>
      </c>
      <c r="D34" s="25">
        <v>600</v>
      </c>
      <c r="E34" s="81">
        <v>1614</v>
      </c>
      <c r="F34" s="91">
        <f t="shared" si="0"/>
        <v>968400</v>
      </c>
    </row>
    <row r="35" spans="1:6" x14ac:dyDescent="0.25">
      <c r="A35" s="33">
        <v>33</v>
      </c>
      <c r="B35" s="15" t="s">
        <v>763</v>
      </c>
      <c r="C35" s="38" t="s">
        <v>717</v>
      </c>
      <c r="D35" s="25">
        <v>60</v>
      </c>
      <c r="E35" s="81">
        <v>924</v>
      </c>
      <c r="F35" s="91">
        <f t="shared" si="0"/>
        <v>55440</v>
      </c>
    </row>
    <row r="36" spans="1:6" x14ac:dyDescent="0.25">
      <c r="A36" s="37">
        <v>34</v>
      </c>
      <c r="B36" s="15" t="s">
        <v>764</v>
      </c>
      <c r="C36" s="38" t="s">
        <v>723</v>
      </c>
      <c r="D36" s="25">
        <v>800</v>
      </c>
      <c r="E36" s="81">
        <v>370</v>
      </c>
      <c r="F36" s="91">
        <f t="shared" si="0"/>
        <v>296000</v>
      </c>
    </row>
    <row r="37" spans="1:6" x14ac:dyDescent="0.25">
      <c r="A37" s="33">
        <v>35</v>
      </c>
      <c r="B37" s="15" t="s">
        <v>765</v>
      </c>
      <c r="C37" s="38" t="s">
        <v>723</v>
      </c>
      <c r="D37" s="25">
        <v>800</v>
      </c>
      <c r="E37" s="81">
        <v>138</v>
      </c>
      <c r="F37" s="91">
        <f t="shared" si="0"/>
        <v>110400</v>
      </c>
    </row>
    <row r="38" spans="1:6" x14ac:dyDescent="0.25">
      <c r="A38" s="37">
        <v>36</v>
      </c>
      <c r="B38" s="15" t="s">
        <v>766</v>
      </c>
      <c r="C38" s="38" t="s">
        <v>723</v>
      </c>
      <c r="D38" s="25">
        <v>2400</v>
      </c>
      <c r="E38" s="81">
        <v>915</v>
      </c>
      <c r="F38" s="91">
        <f t="shared" si="0"/>
        <v>2196000</v>
      </c>
    </row>
    <row r="39" spans="1:6" x14ac:dyDescent="0.25">
      <c r="A39" s="33">
        <v>37</v>
      </c>
      <c r="B39" s="15" t="s">
        <v>767</v>
      </c>
      <c r="C39" s="38" t="s">
        <v>723</v>
      </c>
      <c r="D39" s="25">
        <v>500</v>
      </c>
      <c r="E39" s="81">
        <v>61</v>
      </c>
      <c r="F39" s="91">
        <f t="shared" si="0"/>
        <v>30500</v>
      </c>
    </row>
    <row r="40" spans="1:6" x14ac:dyDescent="0.25">
      <c r="A40" s="37">
        <v>38</v>
      </c>
      <c r="B40" s="15" t="s">
        <v>768</v>
      </c>
      <c r="C40" s="38" t="s">
        <v>723</v>
      </c>
      <c r="D40" s="25">
        <v>7200</v>
      </c>
      <c r="E40" s="81">
        <v>36</v>
      </c>
      <c r="F40" s="91">
        <f t="shared" si="0"/>
        <v>259200</v>
      </c>
    </row>
    <row r="41" spans="1:6" x14ac:dyDescent="0.25">
      <c r="A41" s="33">
        <v>39</v>
      </c>
      <c r="B41" s="15" t="s">
        <v>769</v>
      </c>
      <c r="C41" s="38" t="s">
        <v>723</v>
      </c>
      <c r="D41" s="25">
        <v>8000</v>
      </c>
      <c r="E41" s="81">
        <v>34</v>
      </c>
      <c r="F41" s="91">
        <f t="shared" si="0"/>
        <v>272000</v>
      </c>
    </row>
    <row r="42" spans="1:6" x14ac:dyDescent="0.25">
      <c r="A42" s="37">
        <v>40</v>
      </c>
      <c r="B42" s="15" t="s">
        <v>770</v>
      </c>
      <c r="C42" s="38" t="s">
        <v>717</v>
      </c>
      <c r="D42" s="25">
        <v>20000</v>
      </c>
      <c r="E42" s="81">
        <v>3429</v>
      </c>
      <c r="F42" s="91">
        <f t="shared" si="0"/>
        <v>68580000</v>
      </c>
    </row>
    <row r="43" spans="1:6" x14ac:dyDescent="0.25">
      <c r="A43" s="33">
        <v>41</v>
      </c>
      <c r="B43" s="15" t="s">
        <v>771</v>
      </c>
      <c r="C43" s="38" t="s">
        <v>723</v>
      </c>
      <c r="D43" s="25">
        <v>4000</v>
      </c>
      <c r="E43" s="81">
        <v>250</v>
      </c>
      <c r="F43" s="91">
        <f t="shared" si="0"/>
        <v>1000000</v>
      </c>
    </row>
    <row r="44" spans="1:6" x14ac:dyDescent="0.25">
      <c r="A44" s="37">
        <v>42</v>
      </c>
      <c r="B44" s="15" t="s">
        <v>772</v>
      </c>
      <c r="C44" s="38" t="s">
        <v>721</v>
      </c>
      <c r="D44" s="25">
        <v>240</v>
      </c>
      <c r="E44" s="81">
        <v>2900</v>
      </c>
      <c r="F44" s="91">
        <f t="shared" si="0"/>
        <v>696000</v>
      </c>
    </row>
    <row r="45" spans="1:6" x14ac:dyDescent="0.25">
      <c r="A45" s="33">
        <v>43</v>
      </c>
      <c r="B45" s="15" t="s">
        <v>773</v>
      </c>
      <c r="C45" s="38" t="s">
        <v>727</v>
      </c>
      <c r="D45" s="25">
        <v>1200</v>
      </c>
      <c r="E45" s="81">
        <v>450</v>
      </c>
      <c r="F45" s="91">
        <f t="shared" si="0"/>
        <v>540000</v>
      </c>
    </row>
    <row r="46" spans="1:6" x14ac:dyDescent="0.25">
      <c r="A46" s="37">
        <v>44</v>
      </c>
      <c r="B46" s="15" t="s">
        <v>774</v>
      </c>
      <c r="C46" s="38" t="s">
        <v>717</v>
      </c>
      <c r="D46" s="25">
        <v>96</v>
      </c>
      <c r="E46" s="81">
        <v>2500</v>
      </c>
      <c r="F46" s="91">
        <f t="shared" si="0"/>
        <v>240000</v>
      </c>
    </row>
    <row r="47" spans="1:6" x14ac:dyDescent="0.25">
      <c r="A47" s="33">
        <v>45</v>
      </c>
      <c r="B47" s="15" t="s">
        <v>775</v>
      </c>
      <c r="C47" s="38" t="s">
        <v>723</v>
      </c>
      <c r="D47" s="25">
        <v>2400</v>
      </c>
      <c r="E47" s="81">
        <v>188</v>
      </c>
      <c r="F47" s="91">
        <f t="shared" si="0"/>
        <v>451200</v>
      </c>
    </row>
    <row r="48" spans="1:6" x14ac:dyDescent="0.25">
      <c r="A48" s="37">
        <v>46</v>
      </c>
      <c r="B48" s="15" t="s">
        <v>776</v>
      </c>
      <c r="C48" s="38" t="s">
        <v>717</v>
      </c>
      <c r="D48" s="25">
        <v>1200</v>
      </c>
      <c r="E48" s="81">
        <v>571</v>
      </c>
      <c r="F48" s="91">
        <f t="shared" si="0"/>
        <v>685200</v>
      </c>
    </row>
    <row r="49" spans="1:6" x14ac:dyDescent="0.25">
      <c r="A49" s="33">
        <v>47</v>
      </c>
      <c r="B49" s="15" t="s">
        <v>777</v>
      </c>
      <c r="C49" s="38" t="s">
        <v>717</v>
      </c>
      <c r="D49" s="25">
        <v>1200</v>
      </c>
      <c r="E49" s="81">
        <v>381</v>
      </c>
      <c r="F49" s="91">
        <f t="shared" si="0"/>
        <v>457200</v>
      </c>
    </row>
    <row r="50" spans="1:6" x14ac:dyDescent="0.25">
      <c r="A50" s="37">
        <v>48</v>
      </c>
      <c r="B50" s="15" t="s">
        <v>778</v>
      </c>
      <c r="C50" s="38" t="s">
        <v>749</v>
      </c>
      <c r="D50" s="25">
        <v>480</v>
      </c>
      <c r="E50" s="81">
        <v>90</v>
      </c>
      <c r="F50" s="91">
        <f t="shared" si="0"/>
        <v>43200</v>
      </c>
    </row>
    <row r="51" spans="1:6" x14ac:dyDescent="0.25">
      <c r="A51" s="33">
        <v>49</v>
      </c>
      <c r="B51" s="15" t="s">
        <v>779</v>
      </c>
      <c r="C51" s="38" t="s">
        <v>754</v>
      </c>
      <c r="D51" s="25">
        <v>400</v>
      </c>
      <c r="E51" s="81">
        <v>2514</v>
      </c>
      <c r="F51" s="91">
        <f t="shared" si="0"/>
        <v>1005600</v>
      </c>
    </row>
    <row r="52" spans="1:6" x14ac:dyDescent="0.25">
      <c r="A52" s="37">
        <v>50</v>
      </c>
      <c r="B52" s="15" t="s">
        <v>780</v>
      </c>
      <c r="C52" s="38" t="s">
        <v>721</v>
      </c>
      <c r="D52" s="25">
        <v>40</v>
      </c>
      <c r="E52" s="81">
        <v>8800</v>
      </c>
      <c r="F52" s="91">
        <f t="shared" si="0"/>
        <v>352000</v>
      </c>
    </row>
    <row r="53" spans="1:6" x14ac:dyDescent="0.25">
      <c r="A53" s="33">
        <v>51</v>
      </c>
      <c r="B53" s="15" t="s">
        <v>781</v>
      </c>
      <c r="C53" s="38" t="s">
        <v>782</v>
      </c>
      <c r="D53" s="25">
        <v>100</v>
      </c>
      <c r="E53" s="81">
        <v>3850</v>
      </c>
      <c r="F53" s="91">
        <f t="shared" si="0"/>
        <v>385000</v>
      </c>
    </row>
    <row r="54" spans="1:6" x14ac:dyDescent="0.25">
      <c r="A54" s="37">
        <v>52</v>
      </c>
      <c r="B54" s="15" t="s">
        <v>783</v>
      </c>
      <c r="C54" s="38" t="s">
        <v>784</v>
      </c>
      <c r="D54" s="25">
        <v>200</v>
      </c>
      <c r="E54" s="81">
        <v>3850</v>
      </c>
      <c r="F54" s="91">
        <f t="shared" si="0"/>
        <v>770000</v>
      </c>
    </row>
    <row r="55" spans="1:6" x14ac:dyDescent="0.25">
      <c r="A55" s="33">
        <v>53</v>
      </c>
      <c r="B55" s="15" t="s">
        <v>785</v>
      </c>
      <c r="C55" s="38" t="s">
        <v>786</v>
      </c>
      <c r="D55" s="25">
        <v>100</v>
      </c>
      <c r="E55" s="81">
        <v>4200</v>
      </c>
      <c r="F55" s="91">
        <f t="shared" si="0"/>
        <v>420000</v>
      </c>
    </row>
    <row r="56" spans="1:6" x14ac:dyDescent="0.25">
      <c r="A56" s="37">
        <v>54</v>
      </c>
      <c r="B56" s="15" t="s">
        <v>787</v>
      </c>
      <c r="C56" s="38" t="s">
        <v>784</v>
      </c>
      <c r="D56" s="25">
        <v>400</v>
      </c>
      <c r="E56" s="81">
        <v>1715</v>
      </c>
      <c r="F56" s="91">
        <f t="shared" si="0"/>
        <v>686000</v>
      </c>
    </row>
    <row r="57" spans="1:6" x14ac:dyDescent="0.25">
      <c r="A57" s="33">
        <v>55</v>
      </c>
      <c r="B57" s="15" t="s">
        <v>788</v>
      </c>
      <c r="C57" s="38" t="s">
        <v>719</v>
      </c>
      <c r="D57" s="25">
        <v>20</v>
      </c>
      <c r="E57" s="81">
        <v>5500</v>
      </c>
      <c r="F57" s="91">
        <f t="shared" si="0"/>
        <v>110000</v>
      </c>
    </row>
    <row r="58" spans="1:6" x14ac:dyDescent="0.25">
      <c r="A58" s="37">
        <v>56</v>
      </c>
      <c r="B58" s="15" t="s">
        <v>789</v>
      </c>
      <c r="C58" s="38" t="s">
        <v>719</v>
      </c>
      <c r="D58" s="25">
        <v>10</v>
      </c>
      <c r="E58" s="81">
        <v>1830</v>
      </c>
      <c r="F58" s="91">
        <f t="shared" si="0"/>
        <v>18300</v>
      </c>
    </row>
    <row r="59" spans="1:6" x14ac:dyDescent="0.25">
      <c r="A59" s="33">
        <v>57</v>
      </c>
      <c r="B59" s="15" t="s">
        <v>790</v>
      </c>
      <c r="C59" s="38" t="s">
        <v>738</v>
      </c>
      <c r="D59" s="25">
        <v>20</v>
      </c>
      <c r="E59" s="81">
        <v>5281</v>
      </c>
      <c r="F59" s="91">
        <f t="shared" si="0"/>
        <v>105620</v>
      </c>
    </row>
    <row r="60" spans="1:6" x14ac:dyDescent="0.25">
      <c r="A60" s="37">
        <v>58</v>
      </c>
      <c r="B60" s="15" t="s">
        <v>791</v>
      </c>
      <c r="C60" s="38" t="s">
        <v>717</v>
      </c>
      <c r="D60" s="25"/>
      <c r="E60" s="81">
        <v>34081.519999999997</v>
      </c>
      <c r="F60" s="91">
        <f t="shared" si="0"/>
        <v>0</v>
      </c>
    </row>
    <row r="61" spans="1:6" x14ac:dyDescent="0.25">
      <c r="A61" s="33">
        <v>59</v>
      </c>
      <c r="B61" s="15" t="s">
        <v>792</v>
      </c>
      <c r="C61" s="38" t="s">
        <v>717</v>
      </c>
      <c r="D61" s="25">
        <v>20000</v>
      </c>
      <c r="E61" s="81">
        <v>800</v>
      </c>
      <c r="F61" s="91">
        <f t="shared" si="0"/>
        <v>16000000</v>
      </c>
    </row>
    <row r="62" spans="1:6" x14ac:dyDescent="0.25">
      <c r="A62" s="37">
        <v>60</v>
      </c>
      <c r="B62" s="15" t="s">
        <v>793</v>
      </c>
      <c r="C62" s="38" t="s">
        <v>717</v>
      </c>
      <c r="D62" s="25">
        <v>20000</v>
      </c>
      <c r="E62" s="81">
        <v>1000</v>
      </c>
      <c r="F62" s="91">
        <f t="shared" si="0"/>
        <v>20000000</v>
      </c>
    </row>
    <row r="63" spans="1:6" x14ac:dyDescent="0.25">
      <c r="A63" s="33">
        <v>61</v>
      </c>
      <c r="B63" s="15" t="s">
        <v>794</v>
      </c>
      <c r="C63" s="38" t="s">
        <v>14</v>
      </c>
      <c r="D63" s="25">
        <v>480</v>
      </c>
      <c r="E63" s="81">
        <v>9150</v>
      </c>
      <c r="F63" s="91">
        <f t="shared" si="0"/>
        <v>4392000</v>
      </c>
    </row>
    <row r="64" spans="1:6" x14ac:dyDescent="0.25">
      <c r="A64" s="37">
        <v>62</v>
      </c>
      <c r="B64" s="15" t="s">
        <v>795</v>
      </c>
      <c r="C64" s="38" t="s">
        <v>796</v>
      </c>
      <c r="D64" s="25">
        <v>1600</v>
      </c>
      <c r="E64" s="81">
        <v>2552</v>
      </c>
      <c r="F64" s="91">
        <f t="shared" si="0"/>
        <v>4083200</v>
      </c>
    </row>
    <row r="65" spans="1:6" x14ac:dyDescent="0.25">
      <c r="A65" s="33">
        <v>63</v>
      </c>
      <c r="B65" s="15" t="s">
        <v>797</v>
      </c>
      <c r="C65" s="38" t="s">
        <v>749</v>
      </c>
      <c r="D65" s="25"/>
      <c r="E65" s="81">
        <v>373.75</v>
      </c>
      <c r="F65" s="91">
        <f t="shared" si="0"/>
        <v>0</v>
      </c>
    </row>
    <row r="66" spans="1:6" x14ac:dyDescent="0.25">
      <c r="A66" s="37">
        <v>64</v>
      </c>
      <c r="B66" s="15" t="s">
        <v>798</v>
      </c>
      <c r="C66" s="38" t="s">
        <v>717</v>
      </c>
      <c r="D66" s="25">
        <v>1000</v>
      </c>
      <c r="E66" s="81">
        <v>1330</v>
      </c>
      <c r="F66" s="91">
        <f t="shared" si="0"/>
        <v>1330000</v>
      </c>
    </row>
    <row r="67" spans="1:6" x14ac:dyDescent="0.25">
      <c r="A67" s="33">
        <v>65</v>
      </c>
      <c r="B67" s="15" t="s">
        <v>799</v>
      </c>
      <c r="C67" s="38" t="s">
        <v>717</v>
      </c>
      <c r="D67" s="25">
        <v>32000</v>
      </c>
      <c r="E67" s="81">
        <v>1236</v>
      </c>
      <c r="F67" s="91">
        <f t="shared" si="0"/>
        <v>39552000</v>
      </c>
    </row>
    <row r="68" spans="1:6" x14ac:dyDescent="0.25">
      <c r="A68" s="37">
        <v>66</v>
      </c>
      <c r="B68" s="15" t="s">
        <v>799</v>
      </c>
      <c r="C68" s="38" t="s">
        <v>723</v>
      </c>
      <c r="D68" s="25">
        <v>14000</v>
      </c>
      <c r="E68" s="81">
        <v>1236</v>
      </c>
      <c r="F68" s="91">
        <f t="shared" ref="F68:F131" si="1">+E68*D68</f>
        <v>17304000</v>
      </c>
    </row>
    <row r="69" spans="1:6" x14ac:dyDescent="0.25">
      <c r="A69" s="33">
        <v>67</v>
      </c>
      <c r="B69" s="15" t="s">
        <v>800</v>
      </c>
      <c r="C69" s="38" t="s">
        <v>730</v>
      </c>
      <c r="D69" s="25">
        <v>240</v>
      </c>
      <c r="E69" s="81">
        <v>5330</v>
      </c>
      <c r="F69" s="91">
        <f t="shared" si="1"/>
        <v>1279200</v>
      </c>
    </row>
    <row r="70" spans="1:6" x14ac:dyDescent="0.25">
      <c r="A70" s="37">
        <v>68</v>
      </c>
      <c r="B70" s="15" t="s">
        <v>801</v>
      </c>
      <c r="C70" s="38" t="s">
        <v>727</v>
      </c>
      <c r="D70" s="25">
        <v>10000</v>
      </c>
      <c r="E70" s="81">
        <v>1650</v>
      </c>
      <c r="F70" s="91">
        <f t="shared" si="1"/>
        <v>16500000</v>
      </c>
    </row>
    <row r="71" spans="1:6" x14ac:dyDescent="0.25">
      <c r="A71" s="33">
        <v>69</v>
      </c>
      <c r="B71" s="15" t="s">
        <v>802</v>
      </c>
      <c r="C71" s="38" t="s">
        <v>754</v>
      </c>
      <c r="D71" s="25">
        <v>150</v>
      </c>
      <c r="E71" s="81">
        <v>4709.25</v>
      </c>
      <c r="F71" s="91">
        <f t="shared" si="1"/>
        <v>706387.5</v>
      </c>
    </row>
    <row r="72" spans="1:6" x14ac:dyDescent="0.25">
      <c r="A72" s="37">
        <v>70</v>
      </c>
      <c r="B72" s="15" t="s">
        <v>803</v>
      </c>
      <c r="C72" s="38" t="s">
        <v>754</v>
      </c>
      <c r="D72" s="25">
        <v>250</v>
      </c>
      <c r="E72" s="81">
        <v>3325</v>
      </c>
      <c r="F72" s="91">
        <f t="shared" si="1"/>
        <v>831250</v>
      </c>
    </row>
    <row r="73" spans="1:6" x14ac:dyDescent="0.25">
      <c r="A73" s="33">
        <v>71</v>
      </c>
      <c r="B73" s="15" t="s">
        <v>804</v>
      </c>
      <c r="C73" s="38" t="s">
        <v>727</v>
      </c>
      <c r="D73" s="25"/>
      <c r="E73" s="81">
        <v>113</v>
      </c>
      <c r="F73" s="91">
        <f t="shared" si="1"/>
        <v>0</v>
      </c>
    </row>
    <row r="74" spans="1:6" x14ac:dyDescent="0.25">
      <c r="A74" s="37">
        <v>72</v>
      </c>
      <c r="B74" s="15" t="s">
        <v>805</v>
      </c>
      <c r="C74" s="38" t="s">
        <v>14</v>
      </c>
      <c r="D74" s="25">
        <v>800</v>
      </c>
      <c r="E74" s="81">
        <v>423</v>
      </c>
      <c r="F74" s="91">
        <f t="shared" si="1"/>
        <v>338400</v>
      </c>
    </row>
    <row r="75" spans="1:6" x14ac:dyDescent="0.25">
      <c r="A75" s="33">
        <v>73</v>
      </c>
      <c r="B75" s="15" t="s">
        <v>806</v>
      </c>
      <c r="C75" s="38" t="s">
        <v>717</v>
      </c>
      <c r="D75" s="25">
        <v>16000</v>
      </c>
      <c r="E75" s="81">
        <v>657</v>
      </c>
      <c r="F75" s="91">
        <f t="shared" si="1"/>
        <v>10512000</v>
      </c>
    </row>
    <row r="76" spans="1:6" x14ac:dyDescent="0.25">
      <c r="A76" s="37">
        <v>74</v>
      </c>
      <c r="B76" s="15" t="s">
        <v>807</v>
      </c>
      <c r="C76" s="38" t="s">
        <v>717</v>
      </c>
      <c r="D76" s="25">
        <v>20000</v>
      </c>
      <c r="E76" s="81">
        <v>1313</v>
      </c>
      <c r="F76" s="91">
        <f t="shared" si="1"/>
        <v>26260000</v>
      </c>
    </row>
    <row r="77" spans="1:6" x14ac:dyDescent="0.25">
      <c r="A77" s="33">
        <v>75</v>
      </c>
      <c r="B77" s="15" t="s">
        <v>808</v>
      </c>
      <c r="C77" s="38" t="s">
        <v>809</v>
      </c>
      <c r="D77" s="25"/>
      <c r="E77" s="81">
        <v>299</v>
      </c>
      <c r="F77" s="91">
        <f t="shared" si="1"/>
        <v>0</v>
      </c>
    </row>
    <row r="78" spans="1:6" x14ac:dyDescent="0.25">
      <c r="A78" s="37">
        <v>76</v>
      </c>
      <c r="B78" s="15" t="s">
        <v>810</v>
      </c>
      <c r="C78" s="38" t="s">
        <v>717</v>
      </c>
      <c r="D78" s="25">
        <v>60</v>
      </c>
      <c r="E78" s="81">
        <v>5980</v>
      </c>
      <c r="F78" s="91">
        <f t="shared" si="1"/>
        <v>358800</v>
      </c>
    </row>
    <row r="79" spans="1:6" x14ac:dyDescent="0.25">
      <c r="A79" s="33">
        <v>77</v>
      </c>
      <c r="B79" s="15" t="s">
        <v>811</v>
      </c>
      <c r="C79" s="38" t="s">
        <v>727</v>
      </c>
      <c r="D79" s="25">
        <v>1200</v>
      </c>
      <c r="E79" s="81">
        <v>113</v>
      </c>
      <c r="F79" s="91">
        <f t="shared" si="1"/>
        <v>135600</v>
      </c>
    </row>
    <row r="80" spans="1:6" x14ac:dyDescent="0.25">
      <c r="A80" s="37">
        <v>78</v>
      </c>
      <c r="B80" s="15" t="s">
        <v>812</v>
      </c>
      <c r="C80" s="38" t="s">
        <v>749</v>
      </c>
      <c r="D80" s="25">
        <v>2000</v>
      </c>
      <c r="E80" s="81">
        <v>772</v>
      </c>
      <c r="F80" s="91">
        <f t="shared" si="1"/>
        <v>1544000</v>
      </c>
    </row>
    <row r="81" spans="1:6" x14ac:dyDescent="0.25">
      <c r="A81" s="33">
        <v>79</v>
      </c>
      <c r="B81" s="15" t="s">
        <v>813</v>
      </c>
      <c r="C81" s="38" t="s">
        <v>721</v>
      </c>
      <c r="D81" s="25">
        <v>60</v>
      </c>
      <c r="E81" s="81">
        <v>7483</v>
      </c>
      <c r="F81" s="91">
        <f t="shared" si="1"/>
        <v>448980</v>
      </c>
    </row>
    <row r="82" spans="1:6" x14ac:dyDescent="0.25">
      <c r="A82" s="37">
        <v>80</v>
      </c>
      <c r="B82" s="15" t="s">
        <v>813</v>
      </c>
      <c r="C82" s="38" t="s">
        <v>723</v>
      </c>
      <c r="D82" s="25">
        <v>1000</v>
      </c>
      <c r="E82" s="81">
        <v>421</v>
      </c>
      <c r="F82" s="91">
        <f t="shared" si="1"/>
        <v>421000</v>
      </c>
    </row>
    <row r="83" spans="1:6" x14ac:dyDescent="0.25">
      <c r="A83" s="33">
        <v>81</v>
      </c>
      <c r="B83" s="15" t="s">
        <v>814</v>
      </c>
      <c r="C83" s="38" t="s">
        <v>815</v>
      </c>
      <c r="D83" s="25">
        <v>150</v>
      </c>
      <c r="E83" s="81">
        <v>363</v>
      </c>
      <c r="F83" s="91">
        <f t="shared" si="1"/>
        <v>54450</v>
      </c>
    </row>
    <row r="84" spans="1:6" x14ac:dyDescent="0.25">
      <c r="A84" s="37">
        <v>82</v>
      </c>
      <c r="B84" s="15" t="s">
        <v>816</v>
      </c>
      <c r="C84" s="38" t="s">
        <v>723</v>
      </c>
      <c r="D84" s="25">
        <v>140</v>
      </c>
      <c r="E84" s="81">
        <v>700</v>
      </c>
      <c r="F84" s="91">
        <f t="shared" si="1"/>
        <v>98000</v>
      </c>
    </row>
    <row r="85" spans="1:6" x14ac:dyDescent="0.25">
      <c r="A85" s="33">
        <v>83</v>
      </c>
      <c r="B85" s="15" t="s">
        <v>817</v>
      </c>
      <c r="C85" s="38" t="s">
        <v>721</v>
      </c>
      <c r="D85" s="25"/>
      <c r="E85" s="81">
        <v>24368.5</v>
      </c>
      <c r="F85" s="91">
        <f t="shared" si="1"/>
        <v>0</v>
      </c>
    </row>
    <row r="86" spans="1:6" x14ac:dyDescent="0.25">
      <c r="A86" s="37">
        <v>84</v>
      </c>
      <c r="B86" s="15" t="s">
        <v>818</v>
      </c>
      <c r="C86" s="38" t="s">
        <v>819</v>
      </c>
      <c r="D86" s="25">
        <v>600</v>
      </c>
      <c r="E86" s="81">
        <v>8600</v>
      </c>
      <c r="F86" s="91">
        <f t="shared" si="1"/>
        <v>5160000</v>
      </c>
    </row>
    <row r="87" spans="1:6" x14ac:dyDescent="0.25">
      <c r="A87" s="33">
        <v>85</v>
      </c>
      <c r="B87" s="15" t="s">
        <v>820</v>
      </c>
      <c r="C87" s="38" t="s">
        <v>717</v>
      </c>
      <c r="D87" s="25">
        <v>800</v>
      </c>
      <c r="E87" s="81">
        <v>2500</v>
      </c>
      <c r="F87" s="91">
        <f t="shared" si="1"/>
        <v>2000000</v>
      </c>
    </row>
    <row r="88" spans="1:6" x14ac:dyDescent="0.25">
      <c r="A88" s="37">
        <v>86</v>
      </c>
      <c r="B88" s="15" t="s">
        <v>821</v>
      </c>
      <c r="C88" s="38" t="s">
        <v>717</v>
      </c>
      <c r="D88" s="25">
        <v>400</v>
      </c>
      <c r="E88" s="81">
        <v>9500</v>
      </c>
      <c r="F88" s="91">
        <f t="shared" si="1"/>
        <v>3800000</v>
      </c>
    </row>
    <row r="89" spans="1:6" x14ac:dyDescent="0.25">
      <c r="A89" s="33">
        <v>87</v>
      </c>
      <c r="B89" s="15" t="s">
        <v>822</v>
      </c>
      <c r="C89" s="38" t="s">
        <v>749</v>
      </c>
      <c r="D89" s="25">
        <v>1000</v>
      </c>
      <c r="E89" s="81">
        <v>259</v>
      </c>
      <c r="F89" s="91">
        <f t="shared" si="1"/>
        <v>259000</v>
      </c>
    </row>
    <row r="90" spans="1:6" x14ac:dyDescent="0.25">
      <c r="A90" s="37">
        <v>88</v>
      </c>
      <c r="B90" s="15" t="s">
        <v>823</v>
      </c>
      <c r="C90" s="38" t="s">
        <v>749</v>
      </c>
      <c r="D90" s="25">
        <v>1000</v>
      </c>
      <c r="E90" s="81">
        <v>70</v>
      </c>
      <c r="F90" s="91">
        <f t="shared" si="1"/>
        <v>70000</v>
      </c>
    </row>
    <row r="91" spans="1:6" ht="25.5" x14ac:dyDescent="0.25">
      <c r="A91" s="33">
        <v>89</v>
      </c>
      <c r="B91" s="13" t="s">
        <v>824</v>
      </c>
      <c r="C91" s="38" t="s">
        <v>825</v>
      </c>
      <c r="D91" s="25">
        <v>150</v>
      </c>
      <c r="E91" s="81">
        <v>850</v>
      </c>
      <c r="F91" s="91">
        <f t="shared" si="1"/>
        <v>127500</v>
      </c>
    </row>
    <row r="92" spans="1:6" ht="25.5" x14ac:dyDescent="0.25">
      <c r="A92" s="37">
        <v>90</v>
      </c>
      <c r="B92" s="13" t="s">
        <v>826</v>
      </c>
      <c r="C92" s="38" t="s">
        <v>825</v>
      </c>
      <c r="D92" s="25">
        <v>200</v>
      </c>
      <c r="E92" s="81">
        <v>950</v>
      </c>
      <c r="F92" s="91">
        <f t="shared" si="1"/>
        <v>190000</v>
      </c>
    </row>
    <row r="93" spans="1:6" x14ac:dyDescent="0.25">
      <c r="A93" s="33">
        <v>91</v>
      </c>
      <c r="B93" s="15" t="s">
        <v>827</v>
      </c>
      <c r="C93" s="38" t="s">
        <v>717</v>
      </c>
      <c r="D93" s="25">
        <v>20</v>
      </c>
      <c r="E93" s="81">
        <v>9825</v>
      </c>
      <c r="F93" s="91">
        <f t="shared" si="1"/>
        <v>196500</v>
      </c>
    </row>
    <row r="94" spans="1:6" x14ac:dyDescent="0.25">
      <c r="A94" s="37">
        <v>92</v>
      </c>
      <c r="B94" s="15" t="s">
        <v>828</v>
      </c>
      <c r="C94" s="38" t="s">
        <v>721</v>
      </c>
      <c r="D94" s="25">
        <v>320</v>
      </c>
      <c r="E94" s="81">
        <v>16500</v>
      </c>
      <c r="F94" s="91">
        <f t="shared" si="1"/>
        <v>5280000</v>
      </c>
    </row>
    <row r="95" spans="1:6" x14ac:dyDescent="0.25">
      <c r="A95" s="33">
        <v>93</v>
      </c>
      <c r="B95" s="15" t="s">
        <v>829</v>
      </c>
      <c r="C95" s="38" t="s">
        <v>727</v>
      </c>
      <c r="D95" s="25">
        <v>500</v>
      </c>
      <c r="E95" s="81">
        <v>245</v>
      </c>
      <c r="F95" s="91">
        <f t="shared" si="1"/>
        <v>122500</v>
      </c>
    </row>
    <row r="96" spans="1:6" x14ac:dyDescent="0.25">
      <c r="A96" s="37">
        <v>94</v>
      </c>
      <c r="B96" s="15" t="s">
        <v>830</v>
      </c>
      <c r="C96" s="38" t="s">
        <v>784</v>
      </c>
      <c r="D96" s="25"/>
      <c r="E96" s="81">
        <v>40365</v>
      </c>
      <c r="F96" s="91">
        <f t="shared" si="1"/>
        <v>0</v>
      </c>
    </row>
    <row r="97" spans="1:6" x14ac:dyDescent="0.25">
      <c r="A97" s="33">
        <v>95</v>
      </c>
      <c r="B97" s="15" t="s">
        <v>831</v>
      </c>
      <c r="C97" s="38" t="s">
        <v>721</v>
      </c>
      <c r="D97" s="25">
        <v>150</v>
      </c>
      <c r="E97" s="81">
        <v>4881.18</v>
      </c>
      <c r="F97" s="91">
        <f t="shared" si="1"/>
        <v>732177</v>
      </c>
    </row>
    <row r="98" spans="1:6" x14ac:dyDescent="0.25">
      <c r="A98" s="37">
        <v>96</v>
      </c>
      <c r="B98" s="15" t="s">
        <v>832</v>
      </c>
      <c r="C98" s="38" t="s">
        <v>717</v>
      </c>
      <c r="D98" s="25">
        <v>6000</v>
      </c>
      <c r="E98" s="81">
        <v>458</v>
      </c>
      <c r="F98" s="91">
        <f t="shared" si="1"/>
        <v>2748000</v>
      </c>
    </row>
    <row r="99" spans="1:6" x14ac:dyDescent="0.25">
      <c r="A99" s="33">
        <v>97</v>
      </c>
      <c r="B99" s="15" t="s">
        <v>833</v>
      </c>
      <c r="C99" s="38" t="s">
        <v>723</v>
      </c>
      <c r="D99" s="25">
        <v>6000</v>
      </c>
      <c r="E99" s="81">
        <v>520</v>
      </c>
      <c r="F99" s="91">
        <f t="shared" si="1"/>
        <v>3120000</v>
      </c>
    </row>
    <row r="100" spans="1:6" x14ac:dyDescent="0.25">
      <c r="A100" s="37">
        <v>98</v>
      </c>
      <c r="B100" s="15" t="s">
        <v>834</v>
      </c>
      <c r="C100" s="38" t="s">
        <v>717</v>
      </c>
      <c r="D100" s="25">
        <v>5200</v>
      </c>
      <c r="E100" s="81">
        <v>1100</v>
      </c>
      <c r="F100" s="91">
        <f t="shared" si="1"/>
        <v>5720000</v>
      </c>
    </row>
    <row r="101" spans="1:6" x14ac:dyDescent="0.25">
      <c r="A101" s="33">
        <v>99</v>
      </c>
      <c r="B101" s="15" t="s">
        <v>835</v>
      </c>
      <c r="C101" s="38" t="s">
        <v>717</v>
      </c>
      <c r="D101" s="25">
        <v>2800</v>
      </c>
      <c r="E101" s="81">
        <v>1050</v>
      </c>
      <c r="F101" s="91">
        <f t="shared" si="1"/>
        <v>2940000</v>
      </c>
    </row>
    <row r="102" spans="1:6" x14ac:dyDescent="0.25">
      <c r="A102" s="37">
        <v>100</v>
      </c>
      <c r="B102" s="15" t="s">
        <v>836</v>
      </c>
      <c r="C102" s="38" t="s">
        <v>717</v>
      </c>
      <c r="D102" s="25">
        <v>1200</v>
      </c>
      <c r="E102" s="81">
        <v>990</v>
      </c>
      <c r="F102" s="91">
        <f t="shared" si="1"/>
        <v>1188000</v>
      </c>
    </row>
    <row r="103" spans="1:6" x14ac:dyDescent="0.25">
      <c r="A103" s="33">
        <v>101</v>
      </c>
      <c r="B103" s="15" t="s">
        <v>837</v>
      </c>
      <c r="C103" s="38" t="s">
        <v>721</v>
      </c>
      <c r="D103" s="25">
        <v>80</v>
      </c>
      <c r="E103" s="81">
        <v>2100</v>
      </c>
      <c r="F103" s="91">
        <f t="shared" si="1"/>
        <v>168000</v>
      </c>
    </row>
    <row r="104" spans="1:6" x14ac:dyDescent="0.25">
      <c r="A104" s="37">
        <v>102</v>
      </c>
      <c r="B104" s="15" t="s">
        <v>838</v>
      </c>
      <c r="C104" s="38" t="s">
        <v>723</v>
      </c>
      <c r="D104" s="25">
        <v>2000</v>
      </c>
      <c r="E104" s="81">
        <v>34</v>
      </c>
      <c r="F104" s="91">
        <f t="shared" si="1"/>
        <v>68000</v>
      </c>
    </row>
    <row r="105" spans="1:6" x14ac:dyDescent="0.25">
      <c r="A105" s="33">
        <v>103</v>
      </c>
      <c r="B105" s="15" t="s">
        <v>805</v>
      </c>
      <c r="C105" s="38" t="s">
        <v>723</v>
      </c>
      <c r="D105" s="25"/>
      <c r="E105" s="81">
        <v>1261.78</v>
      </c>
      <c r="F105" s="91">
        <f t="shared" si="1"/>
        <v>0</v>
      </c>
    </row>
    <row r="106" spans="1:6" x14ac:dyDescent="0.25">
      <c r="A106" s="37">
        <v>104</v>
      </c>
      <c r="B106" s="15" t="s">
        <v>839</v>
      </c>
      <c r="C106" s="38" t="s">
        <v>717</v>
      </c>
      <c r="D106" s="25">
        <v>20</v>
      </c>
      <c r="E106" s="81">
        <v>16850</v>
      </c>
      <c r="F106" s="91">
        <f t="shared" si="1"/>
        <v>337000</v>
      </c>
    </row>
    <row r="107" spans="1:6" x14ac:dyDescent="0.25">
      <c r="A107" s="33">
        <v>105</v>
      </c>
      <c r="B107" s="15" t="s">
        <v>840</v>
      </c>
      <c r="C107" s="38" t="s">
        <v>717</v>
      </c>
      <c r="D107" s="25">
        <v>24000</v>
      </c>
      <c r="E107" s="81">
        <v>2200</v>
      </c>
      <c r="F107" s="91">
        <f t="shared" si="1"/>
        <v>52800000</v>
      </c>
    </row>
    <row r="108" spans="1:6" x14ac:dyDescent="0.25">
      <c r="A108" s="37">
        <v>106</v>
      </c>
      <c r="B108" s="15" t="s">
        <v>841</v>
      </c>
      <c r="C108" s="38" t="s">
        <v>717</v>
      </c>
      <c r="D108" s="25">
        <v>2000</v>
      </c>
      <c r="E108" s="81">
        <v>185</v>
      </c>
      <c r="F108" s="91">
        <f t="shared" si="1"/>
        <v>370000</v>
      </c>
    </row>
    <row r="109" spans="1:6" x14ac:dyDescent="0.25">
      <c r="A109" s="33">
        <v>107</v>
      </c>
      <c r="B109" s="15" t="s">
        <v>842</v>
      </c>
      <c r="C109" s="38" t="s">
        <v>723</v>
      </c>
      <c r="D109" s="25"/>
      <c r="E109" s="81">
        <v>100</v>
      </c>
      <c r="F109" s="91">
        <f t="shared" si="1"/>
        <v>0</v>
      </c>
    </row>
    <row r="110" spans="1:6" x14ac:dyDescent="0.25">
      <c r="A110" s="37">
        <v>108</v>
      </c>
      <c r="B110" s="15" t="s">
        <v>843</v>
      </c>
      <c r="C110" s="38" t="s">
        <v>717</v>
      </c>
      <c r="D110" s="25">
        <v>24000</v>
      </c>
      <c r="E110" s="81">
        <v>1000</v>
      </c>
      <c r="F110" s="91">
        <f t="shared" si="1"/>
        <v>24000000</v>
      </c>
    </row>
    <row r="111" spans="1:6" x14ac:dyDescent="0.25">
      <c r="A111" s="33">
        <v>109</v>
      </c>
      <c r="B111" s="13" t="s">
        <v>844</v>
      </c>
      <c r="C111" s="38" t="s">
        <v>845</v>
      </c>
      <c r="D111" s="25">
        <v>120</v>
      </c>
      <c r="E111" s="81">
        <v>9833</v>
      </c>
      <c r="F111" s="91">
        <f t="shared" si="1"/>
        <v>1179960</v>
      </c>
    </row>
    <row r="112" spans="1:6" ht="25.5" x14ac:dyDescent="0.25">
      <c r="A112" s="37">
        <v>110</v>
      </c>
      <c r="B112" s="13" t="s">
        <v>846</v>
      </c>
      <c r="C112" s="38" t="s">
        <v>723</v>
      </c>
      <c r="D112" s="25">
        <v>5000</v>
      </c>
      <c r="E112" s="81">
        <v>423</v>
      </c>
      <c r="F112" s="91">
        <f t="shared" si="1"/>
        <v>2115000</v>
      </c>
    </row>
    <row r="113" spans="1:6" ht="25.5" x14ac:dyDescent="0.25">
      <c r="A113" s="33">
        <v>111</v>
      </c>
      <c r="B113" s="13" t="s">
        <v>847</v>
      </c>
      <c r="C113" s="38" t="s">
        <v>723</v>
      </c>
      <c r="D113" s="25">
        <v>2000</v>
      </c>
      <c r="E113" s="81">
        <v>493</v>
      </c>
      <c r="F113" s="91">
        <f t="shared" si="1"/>
        <v>986000</v>
      </c>
    </row>
    <row r="114" spans="1:6" x14ac:dyDescent="0.25">
      <c r="A114" s="37">
        <v>112</v>
      </c>
      <c r="B114" s="15" t="s">
        <v>848</v>
      </c>
      <c r="C114" s="38" t="s">
        <v>717</v>
      </c>
      <c r="D114" s="25">
        <v>40</v>
      </c>
      <c r="E114" s="81">
        <v>13000</v>
      </c>
      <c r="F114" s="91">
        <f t="shared" si="1"/>
        <v>520000</v>
      </c>
    </row>
    <row r="115" spans="1:6" x14ac:dyDescent="0.25">
      <c r="A115" s="33">
        <v>113</v>
      </c>
      <c r="B115" s="15" t="s">
        <v>849</v>
      </c>
      <c r="C115" s="38" t="s">
        <v>754</v>
      </c>
      <c r="D115" s="25">
        <v>1000</v>
      </c>
      <c r="E115" s="81">
        <v>1079</v>
      </c>
      <c r="F115" s="91">
        <f t="shared" si="1"/>
        <v>1079000</v>
      </c>
    </row>
    <row r="116" spans="1:6" x14ac:dyDescent="0.25">
      <c r="A116" s="37">
        <v>114</v>
      </c>
      <c r="B116" s="15" t="s">
        <v>850</v>
      </c>
      <c r="C116" s="38" t="s">
        <v>723</v>
      </c>
      <c r="D116" s="25">
        <v>8000</v>
      </c>
      <c r="E116" s="81">
        <v>90</v>
      </c>
      <c r="F116" s="91">
        <f t="shared" si="1"/>
        <v>720000</v>
      </c>
    </row>
    <row r="117" spans="1:6" x14ac:dyDescent="0.25">
      <c r="A117" s="33">
        <v>115</v>
      </c>
      <c r="B117" s="15" t="s">
        <v>851</v>
      </c>
      <c r="C117" s="38" t="s">
        <v>723</v>
      </c>
      <c r="D117" s="25">
        <v>5000</v>
      </c>
      <c r="E117" s="81">
        <v>120</v>
      </c>
      <c r="F117" s="91">
        <f t="shared" si="1"/>
        <v>600000</v>
      </c>
    </row>
    <row r="118" spans="1:6" x14ac:dyDescent="0.25">
      <c r="A118" s="37">
        <v>116</v>
      </c>
      <c r="B118" s="15" t="s">
        <v>852</v>
      </c>
      <c r="C118" s="38" t="s">
        <v>723</v>
      </c>
      <c r="D118" s="25"/>
      <c r="E118" s="81">
        <v>150</v>
      </c>
      <c r="F118" s="91">
        <f t="shared" si="1"/>
        <v>0</v>
      </c>
    </row>
    <row r="119" spans="1:6" x14ac:dyDescent="0.25">
      <c r="A119" s="33">
        <v>117</v>
      </c>
      <c r="B119" s="15" t="s">
        <v>853</v>
      </c>
      <c r="C119" s="38" t="s">
        <v>723</v>
      </c>
      <c r="D119" s="25">
        <v>5000</v>
      </c>
      <c r="E119" s="81">
        <v>36</v>
      </c>
      <c r="F119" s="91">
        <f t="shared" si="1"/>
        <v>180000</v>
      </c>
    </row>
    <row r="120" spans="1:6" x14ac:dyDescent="0.25">
      <c r="A120" s="37">
        <v>118</v>
      </c>
      <c r="B120" s="15" t="s">
        <v>854</v>
      </c>
      <c r="C120" s="38" t="s">
        <v>723</v>
      </c>
      <c r="D120" s="25">
        <v>1000</v>
      </c>
      <c r="E120" s="81">
        <v>296</v>
      </c>
      <c r="F120" s="91">
        <f t="shared" si="1"/>
        <v>296000</v>
      </c>
    </row>
    <row r="121" spans="1:6" x14ac:dyDescent="0.25">
      <c r="A121" s="33">
        <v>119</v>
      </c>
      <c r="B121" s="15" t="s">
        <v>854</v>
      </c>
      <c r="C121" s="38" t="s">
        <v>730</v>
      </c>
      <c r="D121" s="25">
        <v>250</v>
      </c>
      <c r="E121" s="81">
        <v>1440</v>
      </c>
      <c r="F121" s="91">
        <f t="shared" si="1"/>
        <v>360000</v>
      </c>
    </row>
    <row r="122" spans="1:6" x14ac:dyDescent="0.25">
      <c r="A122" s="37">
        <v>120</v>
      </c>
      <c r="B122" s="13" t="s">
        <v>855</v>
      </c>
      <c r="C122" s="38" t="s">
        <v>825</v>
      </c>
      <c r="D122" s="25">
        <v>200</v>
      </c>
      <c r="E122" s="81">
        <v>900</v>
      </c>
      <c r="F122" s="91">
        <f t="shared" si="1"/>
        <v>180000</v>
      </c>
    </row>
    <row r="123" spans="1:6" x14ac:dyDescent="0.25">
      <c r="A123" s="33">
        <v>121</v>
      </c>
      <c r="B123" s="15" t="s">
        <v>856</v>
      </c>
      <c r="C123" s="38" t="s">
        <v>857</v>
      </c>
      <c r="D123" s="25">
        <v>300</v>
      </c>
      <c r="E123" s="81">
        <v>134.55000000000001</v>
      </c>
      <c r="F123" s="91">
        <f t="shared" si="1"/>
        <v>40365</v>
      </c>
    </row>
    <row r="124" spans="1:6" x14ac:dyDescent="0.25">
      <c r="A124" s="37">
        <v>122</v>
      </c>
      <c r="B124" s="15" t="s">
        <v>858</v>
      </c>
      <c r="C124" s="38" t="s">
        <v>717</v>
      </c>
      <c r="D124" s="25">
        <v>40</v>
      </c>
      <c r="E124" s="81">
        <v>2600</v>
      </c>
      <c r="F124" s="91">
        <f t="shared" si="1"/>
        <v>104000</v>
      </c>
    </row>
    <row r="125" spans="1:6" x14ac:dyDescent="0.25">
      <c r="A125" s="33">
        <v>123</v>
      </c>
      <c r="B125" s="15" t="s">
        <v>859</v>
      </c>
      <c r="C125" s="38" t="s">
        <v>723</v>
      </c>
      <c r="D125" s="25">
        <v>8000</v>
      </c>
      <c r="E125" s="81">
        <v>86</v>
      </c>
      <c r="F125" s="91">
        <f t="shared" si="1"/>
        <v>688000</v>
      </c>
    </row>
    <row r="126" spans="1:6" x14ac:dyDescent="0.25">
      <c r="A126" s="37">
        <v>124</v>
      </c>
      <c r="B126" s="15" t="s">
        <v>860</v>
      </c>
      <c r="C126" s="38" t="s">
        <v>719</v>
      </c>
      <c r="D126" s="25">
        <v>200</v>
      </c>
      <c r="E126" s="81">
        <v>2560</v>
      </c>
      <c r="F126" s="91">
        <f t="shared" si="1"/>
        <v>512000</v>
      </c>
    </row>
    <row r="127" spans="1:6" x14ac:dyDescent="0.25">
      <c r="A127" s="33">
        <v>125</v>
      </c>
      <c r="B127" s="15" t="s">
        <v>861</v>
      </c>
      <c r="C127" s="38" t="s">
        <v>862</v>
      </c>
      <c r="D127" s="25">
        <v>24000</v>
      </c>
      <c r="E127" s="81">
        <v>813</v>
      </c>
      <c r="F127" s="91">
        <f t="shared" si="1"/>
        <v>19512000</v>
      </c>
    </row>
    <row r="128" spans="1:6" x14ac:dyDescent="0.25">
      <c r="A128" s="37">
        <v>126</v>
      </c>
      <c r="B128" s="15" t="s">
        <v>863</v>
      </c>
      <c r="C128" s="38" t="s">
        <v>864</v>
      </c>
      <c r="D128" s="25">
        <v>3000</v>
      </c>
      <c r="E128" s="81">
        <v>10</v>
      </c>
      <c r="F128" s="91">
        <f t="shared" si="1"/>
        <v>30000</v>
      </c>
    </row>
    <row r="129" spans="1:6" x14ac:dyDescent="0.25">
      <c r="A129" s="33">
        <v>127</v>
      </c>
      <c r="B129" s="15" t="s">
        <v>865</v>
      </c>
      <c r="C129" s="38" t="s">
        <v>717</v>
      </c>
      <c r="D129" s="25">
        <v>160</v>
      </c>
      <c r="E129" s="81">
        <v>14050</v>
      </c>
      <c r="F129" s="91">
        <f t="shared" si="1"/>
        <v>2248000</v>
      </c>
    </row>
    <row r="130" spans="1:6" x14ac:dyDescent="0.25">
      <c r="A130" s="37">
        <v>128</v>
      </c>
      <c r="B130" s="15" t="s">
        <v>866</v>
      </c>
      <c r="C130" s="38" t="s">
        <v>723</v>
      </c>
      <c r="D130" s="25">
        <v>3000</v>
      </c>
      <c r="E130" s="81">
        <v>73</v>
      </c>
      <c r="F130" s="91">
        <f t="shared" si="1"/>
        <v>219000</v>
      </c>
    </row>
    <row r="131" spans="1:6" x14ac:dyDescent="0.25">
      <c r="A131" s="33">
        <v>129</v>
      </c>
      <c r="B131" s="15" t="s">
        <v>867</v>
      </c>
      <c r="C131" s="38" t="s">
        <v>723</v>
      </c>
      <c r="D131" s="25">
        <v>800</v>
      </c>
      <c r="E131" s="81">
        <v>93</v>
      </c>
      <c r="F131" s="91">
        <f t="shared" si="1"/>
        <v>74400</v>
      </c>
    </row>
    <row r="132" spans="1:6" x14ac:dyDescent="0.25">
      <c r="A132" s="37">
        <v>130</v>
      </c>
      <c r="B132" s="15" t="s">
        <v>868</v>
      </c>
      <c r="C132" s="38" t="s">
        <v>723</v>
      </c>
      <c r="D132" s="25">
        <v>400</v>
      </c>
      <c r="E132" s="81">
        <v>270</v>
      </c>
      <c r="F132" s="91">
        <f t="shared" ref="F132:F192" si="2">+E132*D132</f>
        <v>108000</v>
      </c>
    </row>
    <row r="133" spans="1:6" x14ac:dyDescent="0.25">
      <c r="A133" s="33">
        <v>131</v>
      </c>
      <c r="B133" s="15" t="s">
        <v>869</v>
      </c>
      <c r="C133" s="38" t="s">
        <v>721</v>
      </c>
      <c r="D133" s="25">
        <v>100</v>
      </c>
      <c r="E133" s="81">
        <v>4294</v>
      </c>
      <c r="F133" s="91">
        <f t="shared" si="2"/>
        <v>429400</v>
      </c>
    </row>
    <row r="134" spans="1:6" x14ac:dyDescent="0.25">
      <c r="A134" s="37">
        <v>132</v>
      </c>
      <c r="B134" s="15" t="s">
        <v>870</v>
      </c>
      <c r="C134" s="38" t="s">
        <v>721</v>
      </c>
      <c r="D134" s="25">
        <v>200</v>
      </c>
      <c r="E134" s="81">
        <v>3900</v>
      </c>
      <c r="F134" s="91">
        <f t="shared" si="2"/>
        <v>780000</v>
      </c>
    </row>
    <row r="135" spans="1:6" x14ac:dyDescent="0.25">
      <c r="A135" s="33">
        <v>133</v>
      </c>
      <c r="B135" s="15" t="s">
        <v>871</v>
      </c>
      <c r="C135" s="38" t="s">
        <v>717</v>
      </c>
      <c r="D135" s="25">
        <v>400</v>
      </c>
      <c r="E135" s="81">
        <v>6000</v>
      </c>
      <c r="F135" s="91">
        <f t="shared" si="2"/>
        <v>2400000</v>
      </c>
    </row>
    <row r="136" spans="1:6" x14ac:dyDescent="0.25">
      <c r="A136" s="37">
        <v>134</v>
      </c>
      <c r="B136" s="15" t="s">
        <v>872</v>
      </c>
      <c r="C136" s="38" t="s">
        <v>717</v>
      </c>
      <c r="D136" s="25">
        <v>150</v>
      </c>
      <c r="E136" s="81">
        <v>750</v>
      </c>
      <c r="F136" s="91">
        <f t="shared" si="2"/>
        <v>112500</v>
      </c>
    </row>
    <row r="137" spans="1:6" x14ac:dyDescent="0.25">
      <c r="A137" s="33">
        <v>135</v>
      </c>
      <c r="B137" s="15" t="s">
        <v>873</v>
      </c>
      <c r="C137" s="38" t="s">
        <v>721</v>
      </c>
      <c r="D137" s="25">
        <v>100</v>
      </c>
      <c r="E137" s="81">
        <v>3400</v>
      </c>
      <c r="F137" s="91">
        <f t="shared" si="2"/>
        <v>340000</v>
      </c>
    </row>
    <row r="138" spans="1:6" x14ac:dyDescent="0.25">
      <c r="A138" s="37">
        <v>136</v>
      </c>
      <c r="B138" s="15" t="s">
        <v>874</v>
      </c>
      <c r="C138" s="38" t="s">
        <v>723</v>
      </c>
      <c r="D138" s="25">
        <v>1000</v>
      </c>
      <c r="E138" s="81">
        <v>100</v>
      </c>
      <c r="F138" s="91">
        <f t="shared" si="2"/>
        <v>100000</v>
      </c>
    </row>
    <row r="139" spans="1:6" x14ac:dyDescent="0.25">
      <c r="A139" s="33">
        <v>137</v>
      </c>
      <c r="B139" s="15" t="s">
        <v>875</v>
      </c>
      <c r="C139" s="38" t="s">
        <v>723</v>
      </c>
      <c r="D139" s="25">
        <v>1200</v>
      </c>
      <c r="E139" s="81">
        <v>705</v>
      </c>
      <c r="F139" s="91">
        <f t="shared" si="2"/>
        <v>846000</v>
      </c>
    </row>
    <row r="140" spans="1:6" x14ac:dyDescent="0.25">
      <c r="A140" s="37">
        <v>138</v>
      </c>
      <c r="B140" s="15" t="s">
        <v>876</v>
      </c>
      <c r="C140" s="38" t="s">
        <v>727</v>
      </c>
      <c r="D140" s="25">
        <v>1200</v>
      </c>
      <c r="E140" s="81">
        <v>670</v>
      </c>
      <c r="F140" s="91">
        <f t="shared" si="2"/>
        <v>804000</v>
      </c>
    </row>
    <row r="141" spans="1:6" x14ac:dyDescent="0.25">
      <c r="A141" s="33">
        <v>139</v>
      </c>
      <c r="B141" s="15" t="s">
        <v>877</v>
      </c>
      <c r="C141" s="38" t="s">
        <v>727</v>
      </c>
      <c r="D141" s="25">
        <v>1600</v>
      </c>
      <c r="E141" s="81">
        <v>140</v>
      </c>
      <c r="F141" s="91">
        <f t="shared" si="2"/>
        <v>224000</v>
      </c>
    </row>
    <row r="142" spans="1:6" x14ac:dyDescent="0.25">
      <c r="A142" s="37">
        <v>140</v>
      </c>
      <c r="B142" s="15" t="s">
        <v>878</v>
      </c>
      <c r="C142" s="38" t="s">
        <v>879</v>
      </c>
      <c r="D142" s="25">
        <v>100</v>
      </c>
      <c r="E142" s="81">
        <v>6300</v>
      </c>
      <c r="F142" s="91">
        <f t="shared" si="2"/>
        <v>630000</v>
      </c>
    </row>
    <row r="143" spans="1:6" x14ac:dyDescent="0.25">
      <c r="A143" s="33">
        <v>141</v>
      </c>
      <c r="B143" s="15" t="s">
        <v>880</v>
      </c>
      <c r="C143" s="38" t="s">
        <v>721</v>
      </c>
      <c r="D143" s="25">
        <v>50</v>
      </c>
      <c r="E143" s="81">
        <v>4225</v>
      </c>
      <c r="F143" s="91">
        <f t="shared" si="2"/>
        <v>211250</v>
      </c>
    </row>
    <row r="144" spans="1:6" x14ac:dyDescent="0.25">
      <c r="A144" s="37">
        <v>142</v>
      </c>
      <c r="B144" s="15" t="s">
        <v>881</v>
      </c>
      <c r="C144" s="38" t="s">
        <v>879</v>
      </c>
      <c r="D144" s="25">
        <v>400</v>
      </c>
      <c r="E144" s="81">
        <v>38600</v>
      </c>
      <c r="F144" s="91">
        <f t="shared" si="2"/>
        <v>15440000</v>
      </c>
    </row>
    <row r="145" spans="1:6" x14ac:dyDescent="0.25">
      <c r="A145" s="33">
        <v>143</v>
      </c>
      <c r="B145" s="15" t="s">
        <v>882</v>
      </c>
      <c r="C145" s="38" t="s">
        <v>723</v>
      </c>
      <c r="D145" s="25">
        <v>1200</v>
      </c>
      <c r="E145" s="81">
        <v>430</v>
      </c>
      <c r="F145" s="91">
        <f t="shared" si="2"/>
        <v>516000</v>
      </c>
    </row>
    <row r="146" spans="1:6" x14ac:dyDescent="0.25">
      <c r="A146" s="37">
        <v>144</v>
      </c>
      <c r="B146" s="15" t="s">
        <v>883</v>
      </c>
      <c r="C146" s="38" t="s">
        <v>723</v>
      </c>
      <c r="D146" s="25">
        <v>1000</v>
      </c>
      <c r="E146" s="81">
        <v>322.92</v>
      </c>
      <c r="F146" s="91">
        <f t="shared" si="2"/>
        <v>322920</v>
      </c>
    </row>
    <row r="147" spans="1:6" x14ac:dyDescent="0.25">
      <c r="A147" s="33">
        <v>145</v>
      </c>
      <c r="B147" s="15" t="s">
        <v>884</v>
      </c>
      <c r="C147" s="38" t="s">
        <v>717</v>
      </c>
      <c r="D147" s="25"/>
      <c r="E147" s="81">
        <v>76884.86</v>
      </c>
      <c r="F147" s="91">
        <f t="shared" si="2"/>
        <v>0</v>
      </c>
    </row>
    <row r="148" spans="1:6" x14ac:dyDescent="0.25">
      <c r="A148" s="37">
        <v>146</v>
      </c>
      <c r="B148" s="15" t="s">
        <v>885</v>
      </c>
      <c r="C148" s="38" t="s">
        <v>717</v>
      </c>
      <c r="D148" s="25">
        <v>24000</v>
      </c>
      <c r="E148" s="81">
        <v>1960</v>
      </c>
      <c r="F148" s="91">
        <f t="shared" si="2"/>
        <v>47040000</v>
      </c>
    </row>
    <row r="149" spans="1:6" x14ac:dyDescent="0.25">
      <c r="A149" s="33">
        <v>147</v>
      </c>
      <c r="B149" s="15" t="s">
        <v>886</v>
      </c>
      <c r="C149" s="38" t="s">
        <v>721</v>
      </c>
      <c r="D149" s="25">
        <v>12</v>
      </c>
      <c r="E149" s="81">
        <v>3105</v>
      </c>
      <c r="F149" s="91">
        <f t="shared" si="2"/>
        <v>37260</v>
      </c>
    </row>
    <row r="150" spans="1:6" x14ac:dyDescent="0.25">
      <c r="A150" s="37">
        <v>148</v>
      </c>
      <c r="B150" s="15" t="s">
        <v>887</v>
      </c>
      <c r="C150" s="38" t="s">
        <v>717</v>
      </c>
      <c r="D150" s="25">
        <v>600</v>
      </c>
      <c r="E150" s="81">
        <v>3400</v>
      </c>
      <c r="F150" s="91">
        <f t="shared" si="2"/>
        <v>2040000</v>
      </c>
    </row>
    <row r="151" spans="1:6" x14ac:dyDescent="0.25">
      <c r="A151" s="33">
        <v>149</v>
      </c>
      <c r="B151" s="15" t="s">
        <v>888</v>
      </c>
      <c r="C151" s="38" t="s">
        <v>727</v>
      </c>
      <c r="D151" s="25">
        <v>2000</v>
      </c>
      <c r="E151" s="81">
        <v>87</v>
      </c>
      <c r="F151" s="91">
        <f t="shared" si="2"/>
        <v>174000</v>
      </c>
    </row>
    <row r="152" spans="1:6" x14ac:dyDescent="0.25">
      <c r="A152" s="37">
        <v>150</v>
      </c>
      <c r="B152" s="15" t="s">
        <v>889</v>
      </c>
      <c r="C152" s="38" t="s">
        <v>717</v>
      </c>
      <c r="D152" s="25">
        <v>50</v>
      </c>
      <c r="E152" s="81">
        <v>2330</v>
      </c>
      <c r="F152" s="91">
        <f t="shared" si="2"/>
        <v>116500</v>
      </c>
    </row>
    <row r="153" spans="1:6" x14ac:dyDescent="0.25">
      <c r="A153" s="33">
        <v>151</v>
      </c>
      <c r="B153" s="15" t="s">
        <v>890</v>
      </c>
      <c r="C153" s="38" t="s">
        <v>717</v>
      </c>
      <c r="D153" s="25">
        <v>12000</v>
      </c>
      <c r="E153" s="81">
        <v>1500</v>
      </c>
      <c r="F153" s="91">
        <f t="shared" si="2"/>
        <v>18000000</v>
      </c>
    </row>
    <row r="154" spans="1:6" x14ac:dyDescent="0.25">
      <c r="A154" s="37">
        <v>152</v>
      </c>
      <c r="B154" s="15" t="s">
        <v>891</v>
      </c>
      <c r="C154" s="38" t="s">
        <v>717</v>
      </c>
      <c r="D154" s="25">
        <v>6000</v>
      </c>
      <c r="E154" s="81">
        <v>200</v>
      </c>
      <c r="F154" s="91">
        <f t="shared" si="2"/>
        <v>1200000</v>
      </c>
    </row>
    <row r="155" spans="1:6" x14ac:dyDescent="0.25">
      <c r="A155" s="33">
        <v>153</v>
      </c>
      <c r="B155" s="15" t="s">
        <v>892</v>
      </c>
      <c r="C155" s="38" t="s">
        <v>717</v>
      </c>
      <c r="D155" s="25">
        <v>6000</v>
      </c>
      <c r="E155" s="81">
        <v>2800</v>
      </c>
      <c r="F155" s="91">
        <f t="shared" si="2"/>
        <v>16800000</v>
      </c>
    </row>
    <row r="156" spans="1:6" x14ac:dyDescent="0.25">
      <c r="A156" s="37">
        <v>154</v>
      </c>
      <c r="B156" s="15" t="s">
        <v>893</v>
      </c>
      <c r="C156" s="38" t="s">
        <v>717</v>
      </c>
      <c r="D156" s="25">
        <v>8000</v>
      </c>
      <c r="E156" s="81">
        <v>3300</v>
      </c>
      <c r="F156" s="91">
        <f t="shared" si="2"/>
        <v>26400000</v>
      </c>
    </row>
    <row r="157" spans="1:6" x14ac:dyDescent="0.25">
      <c r="A157" s="33">
        <v>155</v>
      </c>
      <c r="B157" s="15" t="s">
        <v>894</v>
      </c>
      <c r="C157" s="38" t="s">
        <v>723</v>
      </c>
      <c r="D157" s="25">
        <v>600</v>
      </c>
      <c r="E157" s="81">
        <v>79</v>
      </c>
      <c r="F157" s="91">
        <f t="shared" si="2"/>
        <v>47400</v>
      </c>
    </row>
    <row r="158" spans="1:6" x14ac:dyDescent="0.25">
      <c r="A158" s="37">
        <v>156</v>
      </c>
      <c r="B158" s="15" t="s">
        <v>895</v>
      </c>
      <c r="C158" s="38" t="s">
        <v>721</v>
      </c>
      <c r="D158" s="25">
        <v>80</v>
      </c>
      <c r="E158" s="81">
        <v>360</v>
      </c>
      <c r="F158" s="91">
        <f t="shared" si="2"/>
        <v>28800</v>
      </c>
    </row>
    <row r="159" spans="1:6" x14ac:dyDescent="0.25">
      <c r="A159" s="33">
        <v>157</v>
      </c>
      <c r="B159" s="15" t="s">
        <v>896</v>
      </c>
      <c r="C159" s="38" t="s">
        <v>721</v>
      </c>
      <c r="D159" s="25">
        <v>60</v>
      </c>
      <c r="E159" s="81">
        <v>54050</v>
      </c>
      <c r="F159" s="91">
        <f t="shared" si="2"/>
        <v>3243000</v>
      </c>
    </row>
    <row r="160" spans="1:6" x14ac:dyDescent="0.25">
      <c r="A160" s="37">
        <v>158</v>
      </c>
      <c r="B160" s="15" t="s">
        <v>897</v>
      </c>
      <c r="C160" s="38" t="s">
        <v>717</v>
      </c>
      <c r="D160" s="25">
        <v>16000</v>
      </c>
      <c r="E160" s="81">
        <v>2200</v>
      </c>
      <c r="F160" s="91">
        <f t="shared" si="2"/>
        <v>35200000</v>
      </c>
    </row>
    <row r="161" spans="1:6" x14ac:dyDescent="0.25">
      <c r="A161" s="33">
        <v>159</v>
      </c>
      <c r="B161" s="15" t="s">
        <v>898</v>
      </c>
      <c r="C161" s="38" t="s">
        <v>723</v>
      </c>
      <c r="D161" s="25">
        <v>4000</v>
      </c>
      <c r="E161" s="81">
        <v>213.79</v>
      </c>
      <c r="F161" s="91">
        <f t="shared" si="2"/>
        <v>855160</v>
      </c>
    </row>
    <row r="162" spans="1:6" x14ac:dyDescent="0.25">
      <c r="A162" s="37">
        <v>160</v>
      </c>
      <c r="B162" s="15" t="s">
        <v>899</v>
      </c>
      <c r="C162" s="38" t="s">
        <v>900</v>
      </c>
      <c r="D162" s="25">
        <v>40</v>
      </c>
      <c r="E162" s="81">
        <v>9500</v>
      </c>
      <c r="F162" s="91">
        <f t="shared" si="2"/>
        <v>380000</v>
      </c>
    </row>
    <row r="163" spans="1:6" x14ac:dyDescent="0.25">
      <c r="A163" s="33">
        <v>161</v>
      </c>
      <c r="B163" s="15" t="s">
        <v>901</v>
      </c>
      <c r="C163" s="38" t="s">
        <v>902</v>
      </c>
      <c r="D163" s="25">
        <v>1400</v>
      </c>
      <c r="E163" s="81">
        <v>6050</v>
      </c>
      <c r="F163" s="91">
        <f t="shared" si="2"/>
        <v>8470000</v>
      </c>
    </row>
    <row r="164" spans="1:6" x14ac:dyDescent="0.25">
      <c r="A164" s="37">
        <v>162</v>
      </c>
      <c r="B164" s="15" t="s">
        <v>903</v>
      </c>
      <c r="C164" s="38" t="s">
        <v>721</v>
      </c>
      <c r="D164" s="25">
        <v>250</v>
      </c>
      <c r="E164" s="81">
        <v>8640</v>
      </c>
      <c r="F164" s="91">
        <f t="shared" si="2"/>
        <v>2160000</v>
      </c>
    </row>
    <row r="165" spans="1:6" x14ac:dyDescent="0.25">
      <c r="A165" s="33">
        <v>163</v>
      </c>
      <c r="B165" s="15" t="s">
        <v>904</v>
      </c>
      <c r="C165" s="38" t="s">
        <v>721</v>
      </c>
      <c r="D165" s="25">
        <v>100</v>
      </c>
      <c r="E165" s="81">
        <v>3010.93</v>
      </c>
      <c r="F165" s="91">
        <f t="shared" si="2"/>
        <v>301093</v>
      </c>
    </row>
    <row r="166" spans="1:6" x14ac:dyDescent="0.25">
      <c r="A166" s="37">
        <v>164</v>
      </c>
      <c r="B166" s="15" t="s">
        <v>905</v>
      </c>
      <c r="C166" s="38" t="s">
        <v>825</v>
      </c>
      <c r="D166" s="25">
        <v>20</v>
      </c>
      <c r="E166" s="81">
        <v>42500</v>
      </c>
      <c r="F166" s="91">
        <f t="shared" si="2"/>
        <v>850000</v>
      </c>
    </row>
    <row r="167" spans="1:6" x14ac:dyDescent="0.25">
      <c r="A167" s="33">
        <v>165</v>
      </c>
      <c r="B167" s="15" t="s">
        <v>906</v>
      </c>
      <c r="C167" s="38" t="s">
        <v>754</v>
      </c>
      <c r="D167" s="25">
        <v>500</v>
      </c>
      <c r="E167" s="81">
        <v>46.4</v>
      </c>
      <c r="F167" s="91">
        <f t="shared" si="2"/>
        <v>23200</v>
      </c>
    </row>
    <row r="168" spans="1:6" x14ac:dyDescent="0.25">
      <c r="A168" s="37">
        <v>166</v>
      </c>
      <c r="B168" s="15" t="s">
        <v>907</v>
      </c>
      <c r="C168" s="38" t="s">
        <v>723</v>
      </c>
      <c r="D168" s="25">
        <v>320</v>
      </c>
      <c r="E168" s="81">
        <v>205</v>
      </c>
      <c r="F168" s="91">
        <f t="shared" si="2"/>
        <v>65600</v>
      </c>
    </row>
    <row r="169" spans="1:6" x14ac:dyDescent="0.25">
      <c r="A169" s="33">
        <v>167</v>
      </c>
      <c r="B169" s="15" t="s">
        <v>908</v>
      </c>
      <c r="C169" s="38" t="s">
        <v>825</v>
      </c>
      <c r="D169" s="25">
        <v>24</v>
      </c>
      <c r="E169" s="81">
        <v>110000</v>
      </c>
      <c r="F169" s="91">
        <f t="shared" si="2"/>
        <v>2640000</v>
      </c>
    </row>
    <row r="170" spans="1:6" x14ac:dyDescent="0.25">
      <c r="A170" s="37">
        <v>168</v>
      </c>
      <c r="B170" s="15" t="s">
        <v>909</v>
      </c>
      <c r="C170" s="38" t="s">
        <v>879</v>
      </c>
      <c r="D170" s="25"/>
      <c r="E170" s="81">
        <v>9104.5499999999993</v>
      </c>
      <c r="F170" s="91">
        <f t="shared" si="2"/>
        <v>0</v>
      </c>
    </row>
    <row r="171" spans="1:6" x14ac:dyDescent="0.25">
      <c r="A171" s="33">
        <v>169</v>
      </c>
      <c r="B171" s="15" t="s">
        <v>910</v>
      </c>
      <c r="C171" s="38" t="s">
        <v>717</v>
      </c>
      <c r="D171" s="25">
        <v>400</v>
      </c>
      <c r="E171" s="81">
        <v>700</v>
      </c>
      <c r="F171" s="91">
        <f t="shared" si="2"/>
        <v>280000</v>
      </c>
    </row>
    <row r="172" spans="1:6" x14ac:dyDescent="0.25">
      <c r="A172" s="37">
        <v>170</v>
      </c>
      <c r="B172" s="15" t="s">
        <v>911</v>
      </c>
      <c r="C172" s="38" t="s">
        <v>723</v>
      </c>
      <c r="D172" s="25">
        <v>15000</v>
      </c>
      <c r="E172" s="81">
        <v>192</v>
      </c>
      <c r="F172" s="91">
        <f t="shared" si="2"/>
        <v>2880000</v>
      </c>
    </row>
    <row r="173" spans="1:6" x14ac:dyDescent="0.25">
      <c r="A173" s="33">
        <v>171</v>
      </c>
      <c r="B173" s="15" t="s">
        <v>912</v>
      </c>
      <c r="C173" s="38" t="s">
        <v>717</v>
      </c>
      <c r="D173" s="25">
        <v>50</v>
      </c>
      <c r="E173" s="81">
        <v>2370</v>
      </c>
      <c r="F173" s="91">
        <f t="shared" si="2"/>
        <v>118500</v>
      </c>
    </row>
    <row r="174" spans="1:6" x14ac:dyDescent="0.25">
      <c r="A174" s="37">
        <v>172</v>
      </c>
      <c r="B174" s="15" t="s">
        <v>913</v>
      </c>
      <c r="C174" s="38" t="s">
        <v>723</v>
      </c>
      <c r="D174" s="25">
        <v>400</v>
      </c>
      <c r="E174" s="81">
        <v>120</v>
      </c>
      <c r="F174" s="91">
        <f t="shared" si="2"/>
        <v>48000</v>
      </c>
    </row>
    <row r="175" spans="1:6" x14ac:dyDescent="0.25">
      <c r="A175" s="33">
        <v>173</v>
      </c>
      <c r="B175" s="15" t="s">
        <v>914</v>
      </c>
      <c r="C175" s="38" t="s">
        <v>721</v>
      </c>
      <c r="D175" s="25">
        <v>100</v>
      </c>
      <c r="E175" s="81">
        <v>1850</v>
      </c>
      <c r="F175" s="91">
        <f t="shared" si="2"/>
        <v>185000</v>
      </c>
    </row>
    <row r="176" spans="1:6" x14ac:dyDescent="0.25">
      <c r="A176" s="37">
        <v>174</v>
      </c>
      <c r="B176" s="15" t="s">
        <v>915</v>
      </c>
      <c r="C176" s="38" t="s">
        <v>717</v>
      </c>
      <c r="D176" s="25">
        <v>1600</v>
      </c>
      <c r="E176" s="81">
        <v>7000</v>
      </c>
      <c r="F176" s="91">
        <f t="shared" si="2"/>
        <v>11200000</v>
      </c>
    </row>
    <row r="177" spans="1:6" x14ac:dyDescent="0.25">
      <c r="A177" s="33">
        <v>175</v>
      </c>
      <c r="B177" s="15" t="s">
        <v>916</v>
      </c>
      <c r="C177" s="38" t="s">
        <v>723</v>
      </c>
      <c r="D177" s="25">
        <v>60</v>
      </c>
      <c r="E177" s="81">
        <v>8900</v>
      </c>
      <c r="F177" s="91">
        <f t="shared" si="2"/>
        <v>534000</v>
      </c>
    </row>
    <row r="178" spans="1:6" x14ac:dyDescent="0.25">
      <c r="A178" s="37">
        <v>176</v>
      </c>
      <c r="B178" s="15" t="s">
        <v>917</v>
      </c>
      <c r="C178" s="38" t="s">
        <v>717</v>
      </c>
      <c r="D178" s="25">
        <v>400</v>
      </c>
      <c r="E178" s="81">
        <v>5781.17</v>
      </c>
      <c r="F178" s="91">
        <f t="shared" si="2"/>
        <v>2312468</v>
      </c>
    </row>
    <row r="179" spans="1:6" x14ac:dyDescent="0.25">
      <c r="A179" s="33">
        <v>177</v>
      </c>
      <c r="B179" s="15" t="s">
        <v>918</v>
      </c>
      <c r="C179" s="38" t="s">
        <v>719</v>
      </c>
      <c r="D179" s="25">
        <v>160</v>
      </c>
      <c r="E179" s="81">
        <v>3900</v>
      </c>
      <c r="F179" s="91">
        <f t="shared" si="2"/>
        <v>624000</v>
      </c>
    </row>
    <row r="180" spans="1:6" x14ac:dyDescent="0.25">
      <c r="A180" s="37">
        <v>178</v>
      </c>
      <c r="B180" s="15" t="s">
        <v>919</v>
      </c>
      <c r="C180" s="38" t="s">
        <v>719</v>
      </c>
      <c r="D180" s="25">
        <v>30</v>
      </c>
      <c r="E180" s="81">
        <v>3500</v>
      </c>
      <c r="F180" s="91">
        <f t="shared" si="2"/>
        <v>105000</v>
      </c>
    </row>
    <row r="181" spans="1:6" x14ac:dyDescent="0.25">
      <c r="A181" s="33">
        <v>179</v>
      </c>
      <c r="B181" s="15" t="s">
        <v>920</v>
      </c>
      <c r="C181" s="38" t="s">
        <v>717</v>
      </c>
      <c r="D181" s="25">
        <v>6000</v>
      </c>
      <c r="E181" s="81">
        <v>980</v>
      </c>
      <c r="F181" s="91">
        <f t="shared" si="2"/>
        <v>5880000</v>
      </c>
    </row>
    <row r="182" spans="1:6" x14ac:dyDescent="0.25">
      <c r="A182" s="37">
        <v>180</v>
      </c>
      <c r="B182" s="15" t="s">
        <v>921</v>
      </c>
      <c r="C182" s="38" t="s">
        <v>717</v>
      </c>
      <c r="D182" s="25">
        <v>4800</v>
      </c>
      <c r="E182" s="81">
        <v>2055</v>
      </c>
      <c r="F182" s="91">
        <f t="shared" si="2"/>
        <v>9864000</v>
      </c>
    </row>
    <row r="183" spans="1:6" x14ac:dyDescent="0.25">
      <c r="A183" s="33">
        <v>181</v>
      </c>
      <c r="B183" s="15" t="s">
        <v>922</v>
      </c>
      <c r="C183" s="38" t="s">
        <v>721</v>
      </c>
      <c r="D183" s="25">
        <v>100</v>
      </c>
      <c r="E183" s="81">
        <v>4290</v>
      </c>
      <c r="F183" s="91">
        <f t="shared" si="2"/>
        <v>429000</v>
      </c>
    </row>
    <row r="184" spans="1:6" ht="25.5" x14ac:dyDescent="0.25">
      <c r="A184" s="37">
        <v>182</v>
      </c>
      <c r="B184" s="13" t="s">
        <v>923</v>
      </c>
      <c r="C184" s="38" t="s">
        <v>749</v>
      </c>
      <c r="D184" s="25">
        <v>240</v>
      </c>
      <c r="E184" s="81">
        <v>4500</v>
      </c>
      <c r="F184" s="91">
        <f t="shared" si="2"/>
        <v>1080000</v>
      </c>
    </row>
    <row r="185" spans="1:6" x14ac:dyDescent="0.25">
      <c r="A185" s="33">
        <v>183</v>
      </c>
      <c r="B185" s="39" t="s">
        <v>924</v>
      </c>
      <c r="C185" s="38" t="s">
        <v>925</v>
      </c>
      <c r="D185" s="25">
        <v>40000</v>
      </c>
      <c r="E185" s="81">
        <v>2550</v>
      </c>
      <c r="F185" s="91">
        <f t="shared" si="2"/>
        <v>102000000</v>
      </c>
    </row>
    <row r="186" spans="1:6" x14ac:dyDescent="0.25">
      <c r="A186" s="37">
        <v>184</v>
      </c>
      <c r="B186" s="39" t="s">
        <v>926</v>
      </c>
      <c r="C186" s="38" t="s">
        <v>925</v>
      </c>
      <c r="D186" s="25">
        <v>40000</v>
      </c>
      <c r="E186" s="81">
        <v>2691</v>
      </c>
      <c r="F186" s="91">
        <f t="shared" si="2"/>
        <v>107640000</v>
      </c>
    </row>
    <row r="187" spans="1:6" x14ac:dyDescent="0.25">
      <c r="A187" s="33">
        <v>185</v>
      </c>
      <c r="B187" s="39" t="s">
        <v>927</v>
      </c>
      <c r="C187" s="38" t="s">
        <v>727</v>
      </c>
      <c r="D187" s="25">
        <v>200</v>
      </c>
      <c r="E187" s="81">
        <v>189</v>
      </c>
      <c r="F187" s="91">
        <f t="shared" si="2"/>
        <v>37800</v>
      </c>
    </row>
    <row r="188" spans="1:6" x14ac:dyDescent="0.25">
      <c r="A188" s="37">
        <v>186</v>
      </c>
      <c r="B188" s="39" t="s">
        <v>928</v>
      </c>
      <c r="C188" s="38" t="s">
        <v>825</v>
      </c>
      <c r="D188" s="25">
        <v>800</v>
      </c>
      <c r="E188" s="81">
        <v>1300</v>
      </c>
      <c r="F188" s="91">
        <f t="shared" si="2"/>
        <v>1040000</v>
      </c>
    </row>
    <row r="189" spans="1:6" x14ac:dyDescent="0.25">
      <c r="A189" s="33">
        <v>187</v>
      </c>
      <c r="B189" s="39" t="s">
        <v>929</v>
      </c>
      <c r="C189" s="38" t="s">
        <v>930</v>
      </c>
      <c r="D189" s="25">
        <v>200</v>
      </c>
      <c r="E189" s="81">
        <v>17500</v>
      </c>
      <c r="F189" s="91">
        <f t="shared" si="2"/>
        <v>3500000</v>
      </c>
    </row>
    <row r="190" spans="1:6" x14ac:dyDescent="0.25">
      <c r="A190" s="37">
        <v>188</v>
      </c>
      <c r="B190" s="39" t="s">
        <v>931</v>
      </c>
      <c r="C190" s="38" t="s">
        <v>825</v>
      </c>
      <c r="D190" s="25">
        <v>20</v>
      </c>
      <c r="E190" s="81">
        <v>9610</v>
      </c>
      <c r="F190" s="91">
        <f t="shared" si="2"/>
        <v>192200</v>
      </c>
    </row>
    <row r="191" spans="1:6" x14ac:dyDescent="0.25">
      <c r="A191" s="33">
        <v>189</v>
      </c>
      <c r="B191" s="39" t="s">
        <v>932</v>
      </c>
      <c r="C191" s="38" t="s">
        <v>721</v>
      </c>
      <c r="D191" s="25">
        <v>80</v>
      </c>
      <c r="E191" s="81">
        <v>30500</v>
      </c>
      <c r="F191" s="91">
        <f t="shared" si="2"/>
        <v>2440000</v>
      </c>
    </row>
    <row r="192" spans="1:6" x14ac:dyDescent="0.25">
      <c r="A192" s="37">
        <v>190</v>
      </c>
      <c r="B192" s="39" t="s">
        <v>933</v>
      </c>
      <c r="C192" s="38" t="s">
        <v>782</v>
      </c>
      <c r="D192" s="25">
        <v>100</v>
      </c>
      <c r="E192" s="81">
        <v>97175</v>
      </c>
      <c r="F192" s="91">
        <f t="shared" si="2"/>
        <v>9717500</v>
      </c>
    </row>
    <row r="193" spans="1:6" x14ac:dyDescent="0.25">
      <c r="A193" s="40"/>
      <c r="B193" s="41" t="s">
        <v>158</v>
      </c>
      <c r="C193" s="42"/>
      <c r="D193" s="42"/>
      <c r="E193" s="92"/>
      <c r="F193" s="93">
        <f>SUM(F3:F192)</f>
        <v>1020641370.85</v>
      </c>
    </row>
    <row r="194" spans="1:6" x14ac:dyDescent="0.25">
      <c r="A194" s="40"/>
      <c r="B194" s="41" t="s">
        <v>159</v>
      </c>
      <c r="C194" s="42"/>
      <c r="D194" s="42"/>
      <c r="E194" s="92"/>
      <c r="F194" s="93">
        <f>+F193*0.16</f>
        <v>163302619.336</v>
      </c>
    </row>
    <row r="195" spans="1:6" ht="15.75" thickBot="1" x14ac:dyDescent="0.3">
      <c r="A195" s="43"/>
      <c r="B195" s="44" t="s">
        <v>160</v>
      </c>
      <c r="C195" s="45"/>
      <c r="D195" s="45"/>
      <c r="E195" s="94"/>
      <c r="F195" s="95">
        <f>SUM(F193:F194)</f>
        <v>1183943990.1860001</v>
      </c>
    </row>
    <row r="196" spans="1:6" ht="15.75" thickBot="1" x14ac:dyDescent="0.3">
      <c r="A196" s="9"/>
      <c r="B196" s="9"/>
      <c r="C196" s="9"/>
      <c r="D196" s="1079" t="s">
        <v>283</v>
      </c>
      <c r="E196" s="1080"/>
      <c r="F196" s="96">
        <f>SUM(F195)</f>
        <v>1183943990.1860001</v>
      </c>
    </row>
  </sheetData>
  <mergeCells count="2">
    <mergeCell ref="A1:F1"/>
    <mergeCell ref="D196:E196"/>
  </mergeCells>
  <pageMargins left="0.7" right="0.7" top="0.75" bottom="1.48" header="0.3" footer="1.01"/>
  <pageSetup paperSize="5" scale="80" orientation="portrait" r:id="rId1"/>
  <headerFooter>
    <oddFooter xml:space="preserve">&amp;C119
</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tabColor rgb="FF00B0F0"/>
  </sheetPr>
  <dimension ref="A1:G218"/>
  <sheetViews>
    <sheetView view="pageLayout" topLeftCell="A55" workbookViewId="0">
      <selection activeCell="I14" sqref="I14"/>
    </sheetView>
  </sheetViews>
  <sheetFormatPr baseColWidth="10" defaultRowHeight="15" x14ac:dyDescent="0.25"/>
  <cols>
    <col min="1" max="1" width="6" bestFit="1" customWidth="1"/>
    <col min="2" max="2" width="23" customWidth="1"/>
    <col min="3" max="4" width="11.28515625" bestFit="1" customWidth="1"/>
    <col min="5" max="5" width="8.85546875" bestFit="1" customWidth="1"/>
    <col min="6" max="6" width="7.85546875" bestFit="1" customWidth="1"/>
    <col min="7" max="7" width="12.7109375" bestFit="1" customWidth="1"/>
  </cols>
  <sheetData>
    <row r="1" spans="1:7" x14ac:dyDescent="0.25">
      <c r="A1" s="1081" t="s">
        <v>1429</v>
      </c>
      <c r="B1" s="1082"/>
      <c r="C1" s="1082"/>
      <c r="D1" s="1082"/>
      <c r="E1" s="1082"/>
      <c r="F1" s="1082"/>
      <c r="G1" s="1083"/>
    </row>
    <row r="2" spans="1:7" x14ac:dyDescent="0.25">
      <c r="A2" s="131" t="s">
        <v>299</v>
      </c>
      <c r="B2" s="127" t="s">
        <v>934</v>
      </c>
      <c r="C2" s="128" t="s">
        <v>415</v>
      </c>
      <c r="D2" s="128" t="s">
        <v>714</v>
      </c>
      <c r="E2" s="128" t="s">
        <v>2</v>
      </c>
      <c r="F2" s="128" t="s">
        <v>285</v>
      </c>
      <c r="G2" s="132" t="s">
        <v>164</v>
      </c>
    </row>
    <row r="3" spans="1:7" x14ac:dyDescent="0.25">
      <c r="A3" s="37">
        <v>1</v>
      </c>
      <c r="B3" s="12" t="s">
        <v>935</v>
      </c>
      <c r="C3" s="17"/>
      <c r="D3" s="17" t="s">
        <v>925</v>
      </c>
      <c r="E3" s="97"/>
      <c r="F3" s="97">
        <v>721.65449999999998</v>
      </c>
      <c r="G3" s="133">
        <f>+F3*E3</f>
        <v>0</v>
      </c>
    </row>
    <row r="4" spans="1:7" ht="22.5" x14ac:dyDescent="0.25">
      <c r="A4" s="37">
        <v>2</v>
      </c>
      <c r="B4" s="12" t="s">
        <v>936</v>
      </c>
      <c r="C4" s="17" t="s">
        <v>937</v>
      </c>
      <c r="D4" s="17" t="s">
        <v>938</v>
      </c>
      <c r="E4" s="97">
        <v>100</v>
      </c>
      <c r="F4" s="97">
        <v>10353</v>
      </c>
      <c r="G4" s="133">
        <f t="shared" ref="G4:G83" si="0">+F4*E4</f>
        <v>1035300</v>
      </c>
    </row>
    <row r="5" spans="1:7" x14ac:dyDescent="0.25">
      <c r="A5" s="37">
        <v>3</v>
      </c>
      <c r="B5" s="12" t="s">
        <v>939</v>
      </c>
      <c r="C5" s="17" t="s">
        <v>937</v>
      </c>
      <c r="D5" s="17" t="s">
        <v>14</v>
      </c>
      <c r="E5" s="97">
        <v>30600</v>
      </c>
      <c r="F5" s="97">
        <v>132.30000000000001</v>
      </c>
      <c r="G5" s="133">
        <f t="shared" si="0"/>
        <v>4048380.0000000005</v>
      </c>
    </row>
    <row r="6" spans="1:7" ht="22.5" x14ac:dyDescent="0.25">
      <c r="A6" s="37">
        <v>4</v>
      </c>
      <c r="B6" s="12" t="s">
        <v>940</v>
      </c>
      <c r="C6" s="17" t="s">
        <v>937</v>
      </c>
      <c r="D6" s="17" t="s">
        <v>14</v>
      </c>
      <c r="E6" s="97">
        <v>1400</v>
      </c>
      <c r="F6" s="97">
        <v>132.30000000000001</v>
      </c>
      <c r="G6" s="133">
        <f t="shared" si="0"/>
        <v>185220.00000000003</v>
      </c>
    </row>
    <row r="7" spans="1:7" x14ac:dyDescent="0.25">
      <c r="A7" s="37">
        <v>5</v>
      </c>
      <c r="B7" s="12" t="s">
        <v>941</v>
      </c>
      <c r="C7" s="17" t="s">
        <v>937</v>
      </c>
      <c r="D7" s="17" t="s">
        <v>938</v>
      </c>
      <c r="E7" s="97">
        <v>10</v>
      </c>
      <c r="F7" s="97">
        <v>27182.431499999999</v>
      </c>
      <c r="G7" s="133">
        <f t="shared" si="0"/>
        <v>271824.315</v>
      </c>
    </row>
    <row r="8" spans="1:7" x14ac:dyDescent="0.25">
      <c r="A8" s="37">
        <v>6</v>
      </c>
      <c r="B8" s="12" t="s">
        <v>942</v>
      </c>
      <c r="C8" s="17" t="s">
        <v>937</v>
      </c>
      <c r="D8" s="17" t="s">
        <v>938</v>
      </c>
      <c r="E8" s="97">
        <v>10</v>
      </c>
      <c r="F8" s="97">
        <v>27182.431499999999</v>
      </c>
      <c r="G8" s="133">
        <f t="shared" si="0"/>
        <v>271824.315</v>
      </c>
    </row>
    <row r="9" spans="1:7" x14ac:dyDescent="0.25">
      <c r="A9" s="37">
        <v>7</v>
      </c>
      <c r="B9" s="12" t="s">
        <v>943</v>
      </c>
      <c r="C9" s="17" t="s">
        <v>937</v>
      </c>
      <c r="D9" s="17" t="s">
        <v>938</v>
      </c>
      <c r="E9" s="97">
        <v>10</v>
      </c>
      <c r="F9" s="97">
        <v>27182.431499999999</v>
      </c>
      <c r="G9" s="133">
        <f t="shared" si="0"/>
        <v>271824.315</v>
      </c>
    </row>
    <row r="10" spans="1:7" x14ac:dyDescent="0.25">
      <c r="A10" s="37">
        <v>8</v>
      </c>
      <c r="B10" s="12" t="s">
        <v>944</v>
      </c>
      <c r="C10" s="17" t="s">
        <v>945</v>
      </c>
      <c r="D10" s="17" t="s">
        <v>151</v>
      </c>
      <c r="E10" s="97"/>
      <c r="F10" s="97">
        <v>44222.598000000005</v>
      </c>
      <c r="G10" s="133">
        <f t="shared" si="0"/>
        <v>0</v>
      </c>
    </row>
    <row r="11" spans="1:7" x14ac:dyDescent="0.25">
      <c r="A11" s="37">
        <v>9</v>
      </c>
      <c r="B11" s="12" t="s">
        <v>946</v>
      </c>
      <c r="C11" s="17" t="s">
        <v>945</v>
      </c>
      <c r="D11" s="17" t="s">
        <v>151</v>
      </c>
      <c r="E11" s="97"/>
      <c r="F11" s="97">
        <v>44222.598000000005</v>
      </c>
      <c r="G11" s="133">
        <f t="shared" si="0"/>
        <v>0</v>
      </c>
    </row>
    <row r="12" spans="1:7" x14ac:dyDescent="0.25">
      <c r="A12" s="37">
        <v>10</v>
      </c>
      <c r="B12" s="12" t="s">
        <v>947</v>
      </c>
      <c r="C12" s="17" t="s">
        <v>945</v>
      </c>
      <c r="D12" s="17" t="s">
        <v>151</v>
      </c>
      <c r="E12" s="97"/>
      <c r="F12" s="97">
        <v>44222.598000000005</v>
      </c>
      <c r="G12" s="133">
        <f t="shared" si="0"/>
        <v>0</v>
      </c>
    </row>
    <row r="13" spans="1:7" x14ac:dyDescent="0.25">
      <c r="A13" s="37">
        <v>11</v>
      </c>
      <c r="B13" s="12" t="s">
        <v>948</v>
      </c>
      <c r="C13" s="17" t="s">
        <v>945</v>
      </c>
      <c r="D13" s="17" t="s">
        <v>151</v>
      </c>
      <c r="E13" s="97"/>
      <c r="F13" s="97">
        <v>44222.598000000005</v>
      </c>
      <c r="G13" s="133">
        <f t="shared" si="0"/>
        <v>0</v>
      </c>
    </row>
    <row r="14" spans="1:7" x14ac:dyDescent="0.25">
      <c r="A14" s="37">
        <v>12</v>
      </c>
      <c r="B14" s="12" t="s">
        <v>949</v>
      </c>
      <c r="C14" s="17" t="s">
        <v>945</v>
      </c>
      <c r="D14" s="17" t="s">
        <v>151</v>
      </c>
      <c r="E14" s="97"/>
      <c r="F14" s="97">
        <v>44222.598000000005</v>
      </c>
      <c r="G14" s="133">
        <f t="shared" si="0"/>
        <v>0</v>
      </c>
    </row>
    <row r="15" spans="1:7" x14ac:dyDescent="0.25">
      <c r="A15" s="37">
        <v>13</v>
      </c>
      <c r="B15" s="12" t="s">
        <v>950</v>
      </c>
      <c r="C15" s="17" t="s">
        <v>945</v>
      </c>
      <c r="D15" s="17" t="s">
        <v>151</v>
      </c>
      <c r="E15" s="97"/>
      <c r="F15" s="97">
        <v>44222.598000000005</v>
      </c>
      <c r="G15" s="133">
        <f t="shared" si="0"/>
        <v>0</v>
      </c>
    </row>
    <row r="16" spans="1:7" x14ac:dyDescent="0.25">
      <c r="A16" s="37">
        <v>14</v>
      </c>
      <c r="B16" s="12" t="s">
        <v>951</v>
      </c>
      <c r="C16" s="17" t="s">
        <v>945</v>
      </c>
      <c r="D16" s="17" t="s">
        <v>151</v>
      </c>
      <c r="E16" s="97"/>
      <c r="F16" s="97">
        <v>44222.598000000005</v>
      </c>
      <c r="G16" s="133">
        <f t="shared" si="0"/>
        <v>0</v>
      </c>
    </row>
    <row r="17" spans="1:7" x14ac:dyDescent="0.25">
      <c r="A17" s="37">
        <v>15</v>
      </c>
      <c r="B17" s="12" t="s">
        <v>952</v>
      </c>
      <c r="C17" s="17" t="s">
        <v>953</v>
      </c>
      <c r="D17" s="17" t="s">
        <v>954</v>
      </c>
      <c r="E17" s="97"/>
      <c r="F17" s="97">
        <v>31271.824499999999</v>
      </c>
      <c r="G17" s="133">
        <f t="shared" si="0"/>
        <v>0</v>
      </c>
    </row>
    <row r="18" spans="1:7" ht="22.5" x14ac:dyDescent="0.25">
      <c r="A18" s="37">
        <v>16</v>
      </c>
      <c r="B18" s="12" t="s">
        <v>955</v>
      </c>
      <c r="C18" s="17" t="s">
        <v>956</v>
      </c>
      <c r="D18" s="17" t="s">
        <v>6</v>
      </c>
      <c r="E18" s="97">
        <v>3000</v>
      </c>
      <c r="F18" s="97">
        <v>20290.703999999998</v>
      </c>
      <c r="G18" s="133">
        <f t="shared" si="0"/>
        <v>60872111.999999993</v>
      </c>
    </row>
    <row r="19" spans="1:7" ht="22.5" x14ac:dyDescent="0.25">
      <c r="A19" s="37">
        <v>17</v>
      </c>
      <c r="B19" s="12" t="s">
        <v>957</v>
      </c>
      <c r="C19" s="17" t="s">
        <v>956</v>
      </c>
      <c r="D19" s="17" t="s">
        <v>6</v>
      </c>
      <c r="E19" s="97">
        <v>1000</v>
      </c>
      <c r="F19" s="97">
        <v>20290.703999999998</v>
      </c>
      <c r="G19" s="133">
        <f t="shared" si="0"/>
        <v>20290703.999999996</v>
      </c>
    </row>
    <row r="20" spans="1:7" s="113" customFormat="1" x14ac:dyDescent="0.25">
      <c r="A20" s="37">
        <v>18</v>
      </c>
      <c r="B20" s="12" t="s">
        <v>1559</v>
      </c>
      <c r="C20" s="17"/>
      <c r="D20" s="17" t="s">
        <v>14</v>
      </c>
      <c r="E20" s="97">
        <v>6</v>
      </c>
      <c r="F20" s="97">
        <v>740</v>
      </c>
      <c r="G20" s="133">
        <f t="shared" si="0"/>
        <v>4440</v>
      </c>
    </row>
    <row r="21" spans="1:7" s="113" customFormat="1" x14ac:dyDescent="0.25">
      <c r="A21" s="37">
        <v>19</v>
      </c>
      <c r="B21" s="12" t="s">
        <v>1560</v>
      </c>
      <c r="C21" s="17"/>
      <c r="D21" s="17" t="s">
        <v>14</v>
      </c>
      <c r="E21" s="97">
        <v>6</v>
      </c>
      <c r="F21" s="97">
        <v>1191</v>
      </c>
      <c r="G21" s="133">
        <f t="shared" si="0"/>
        <v>7146</v>
      </c>
    </row>
    <row r="22" spans="1:7" s="113" customFormat="1" x14ac:dyDescent="0.25">
      <c r="A22" s="37">
        <v>20</v>
      </c>
      <c r="B22" s="12" t="s">
        <v>1561</v>
      </c>
      <c r="C22" s="17"/>
      <c r="D22" s="17" t="s">
        <v>14</v>
      </c>
      <c r="E22" s="97">
        <v>6</v>
      </c>
      <c r="F22" s="97">
        <v>1443</v>
      </c>
      <c r="G22" s="133">
        <f t="shared" si="0"/>
        <v>8658</v>
      </c>
    </row>
    <row r="23" spans="1:7" s="113" customFormat="1" x14ac:dyDescent="0.25">
      <c r="A23" s="37">
        <v>21</v>
      </c>
      <c r="B23" s="12" t="s">
        <v>1562</v>
      </c>
      <c r="C23" s="17"/>
      <c r="D23" s="17" t="s">
        <v>14</v>
      </c>
      <c r="E23" s="97">
        <v>6</v>
      </c>
      <c r="F23" s="97">
        <v>1652</v>
      </c>
      <c r="G23" s="133">
        <f t="shared" si="0"/>
        <v>9912</v>
      </c>
    </row>
    <row r="24" spans="1:7" s="113" customFormat="1" x14ac:dyDescent="0.25">
      <c r="A24" s="37">
        <v>22</v>
      </c>
      <c r="B24" s="12" t="s">
        <v>1563</v>
      </c>
      <c r="C24" s="17"/>
      <c r="D24" s="17" t="s">
        <v>14</v>
      </c>
      <c r="E24" s="97">
        <v>6</v>
      </c>
      <c r="F24" s="97">
        <v>1943</v>
      </c>
      <c r="G24" s="133">
        <f t="shared" si="0"/>
        <v>11658</v>
      </c>
    </row>
    <row r="25" spans="1:7" x14ac:dyDescent="0.25">
      <c r="A25" s="37">
        <v>23</v>
      </c>
      <c r="B25" s="12" t="s">
        <v>958</v>
      </c>
      <c r="C25" s="17" t="s">
        <v>959</v>
      </c>
      <c r="D25" s="17" t="s">
        <v>960</v>
      </c>
      <c r="E25" s="97">
        <v>90000</v>
      </c>
      <c r="F25" s="97">
        <v>5.25</v>
      </c>
      <c r="G25" s="133">
        <f t="shared" si="0"/>
        <v>472500</v>
      </c>
    </row>
    <row r="26" spans="1:7" x14ac:dyDescent="0.25">
      <c r="A26" s="37">
        <v>24</v>
      </c>
      <c r="B26" s="12" t="s">
        <v>961</v>
      </c>
      <c r="C26" s="17" t="s">
        <v>962</v>
      </c>
      <c r="D26" s="17" t="s">
        <v>938</v>
      </c>
      <c r="E26" s="97">
        <v>1</v>
      </c>
      <c r="F26" s="97">
        <v>156118.58849999998</v>
      </c>
      <c r="G26" s="133">
        <f t="shared" si="0"/>
        <v>156118.58849999998</v>
      </c>
    </row>
    <row r="27" spans="1:7" x14ac:dyDescent="0.25">
      <c r="A27" s="37">
        <v>25</v>
      </c>
      <c r="B27" s="12" t="s">
        <v>963</v>
      </c>
      <c r="C27" s="17" t="s">
        <v>959</v>
      </c>
      <c r="D27" s="17" t="s">
        <v>964</v>
      </c>
      <c r="E27" s="97">
        <v>90000</v>
      </c>
      <c r="F27" s="97">
        <v>34.65</v>
      </c>
      <c r="G27" s="133">
        <f t="shared" si="0"/>
        <v>3118500</v>
      </c>
    </row>
    <row r="28" spans="1:7" s="113" customFormat="1" x14ac:dyDescent="0.25">
      <c r="A28" s="37">
        <v>26</v>
      </c>
      <c r="B28" s="12" t="s">
        <v>1556</v>
      </c>
      <c r="C28" s="17"/>
      <c r="D28" s="17" t="s">
        <v>14</v>
      </c>
      <c r="E28" s="97">
        <v>12</v>
      </c>
      <c r="F28" s="97">
        <v>22200</v>
      </c>
      <c r="G28" s="133">
        <f t="shared" si="0"/>
        <v>266400</v>
      </c>
    </row>
    <row r="29" spans="1:7" s="113" customFormat="1" x14ac:dyDescent="0.25">
      <c r="A29" s="37">
        <v>27</v>
      </c>
      <c r="B29" s="12" t="s">
        <v>1557</v>
      </c>
      <c r="C29" s="17"/>
      <c r="D29" s="17" t="s">
        <v>14</v>
      </c>
      <c r="E29" s="97">
        <v>6</v>
      </c>
      <c r="F29" s="97">
        <v>7030000</v>
      </c>
      <c r="G29" s="133">
        <f t="shared" si="0"/>
        <v>42180000</v>
      </c>
    </row>
    <row r="30" spans="1:7" x14ac:dyDescent="0.25">
      <c r="A30" s="37">
        <v>28</v>
      </c>
      <c r="B30" s="12" t="s">
        <v>965</v>
      </c>
      <c r="C30" s="17" t="s">
        <v>937</v>
      </c>
      <c r="D30" s="17" t="s">
        <v>14</v>
      </c>
      <c r="E30" s="97">
        <v>8000</v>
      </c>
      <c r="F30" s="97">
        <v>4189.5</v>
      </c>
      <c r="G30" s="133">
        <f t="shared" si="0"/>
        <v>33516000</v>
      </c>
    </row>
    <row r="31" spans="1:7" x14ac:dyDescent="0.25">
      <c r="A31" s="37">
        <v>29</v>
      </c>
      <c r="B31" s="12" t="s">
        <v>966</v>
      </c>
      <c r="C31" s="17" t="s">
        <v>967</v>
      </c>
      <c r="D31" s="17" t="s">
        <v>968</v>
      </c>
      <c r="E31" s="97">
        <v>10000</v>
      </c>
      <c r="F31" s="97">
        <v>9622.1054999999997</v>
      </c>
      <c r="G31" s="133">
        <f t="shared" si="0"/>
        <v>96221055</v>
      </c>
    </row>
    <row r="32" spans="1:7" x14ac:dyDescent="0.25">
      <c r="A32" s="37">
        <v>30</v>
      </c>
      <c r="B32" s="12" t="s">
        <v>969</v>
      </c>
      <c r="C32" s="17" t="s">
        <v>970</v>
      </c>
      <c r="D32" s="17" t="s">
        <v>968</v>
      </c>
      <c r="E32" s="97">
        <v>60</v>
      </c>
      <c r="F32" s="97">
        <v>4410</v>
      </c>
      <c r="G32" s="133">
        <f t="shared" si="0"/>
        <v>264600</v>
      </c>
    </row>
    <row r="33" spans="1:7" x14ac:dyDescent="0.25">
      <c r="A33" s="37">
        <v>31</v>
      </c>
      <c r="B33" s="12" t="s">
        <v>971</v>
      </c>
      <c r="C33" s="17" t="s">
        <v>970</v>
      </c>
      <c r="D33" s="17" t="s">
        <v>968</v>
      </c>
      <c r="E33" s="97">
        <v>60</v>
      </c>
      <c r="F33" s="97">
        <v>4410</v>
      </c>
      <c r="G33" s="133">
        <f t="shared" si="0"/>
        <v>264600</v>
      </c>
    </row>
    <row r="34" spans="1:7" x14ac:dyDescent="0.25">
      <c r="A34" s="37">
        <v>32</v>
      </c>
      <c r="B34" s="12" t="s">
        <v>972</v>
      </c>
      <c r="C34" s="17" t="s">
        <v>970</v>
      </c>
      <c r="D34" s="17" t="s">
        <v>968</v>
      </c>
      <c r="E34" s="97">
        <v>60</v>
      </c>
      <c r="F34" s="97">
        <v>4410</v>
      </c>
      <c r="G34" s="133">
        <f t="shared" si="0"/>
        <v>264600</v>
      </c>
    </row>
    <row r="35" spans="1:7" x14ac:dyDescent="0.25">
      <c r="A35" s="37">
        <v>33</v>
      </c>
      <c r="B35" s="12" t="s">
        <v>973</v>
      </c>
      <c r="C35" s="17" t="s">
        <v>970</v>
      </c>
      <c r="D35" s="17" t="s">
        <v>968</v>
      </c>
      <c r="E35" s="97">
        <v>60</v>
      </c>
      <c r="F35" s="97">
        <v>4410</v>
      </c>
      <c r="G35" s="133">
        <f t="shared" si="0"/>
        <v>264600</v>
      </c>
    </row>
    <row r="36" spans="1:7" x14ac:dyDescent="0.25">
      <c r="A36" s="37">
        <v>34</v>
      </c>
      <c r="B36" s="12" t="s">
        <v>974</v>
      </c>
      <c r="C36" s="17" t="s">
        <v>970</v>
      </c>
      <c r="D36" s="17" t="s">
        <v>968</v>
      </c>
      <c r="E36" s="97">
        <v>60</v>
      </c>
      <c r="F36" s="97">
        <v>4410</v>
      </c>
      <c r="G36" s="133">
        <f t="shared" si="0"/>
        <v>264600</v>
      </c>
    </row>
    <row r="37" spans="1:7" x14ac:dyDescent="0.25">
      <c r="A37" s="37">
        <v>35</v>
      </c>
      <c r="B37" s="12" t="s">
        <v>975</v>
      </c>
      <c r="C37" s="17" t="s">
        <v>970</v>
      </c>
      <c r="D37" s="17" t="s">
        <v>968</v>
      </c>
      <c r="E37" s="97">
        <v>200</v>
      </c>
      <c r="F37" s="97">
        <v>15635.9175</v>
      </c>
      <c r="G37" s="133">
        <f t="shared" si="0"/>
        <v>3127183.5</v>
      </c>
    </row>
    <row r="38" spans="1:7" x14ac:dyDescent="0.25">
      <c r="A38" s="37">
        <v>36</v>
      </c>
      <c r="B38" s="12" t="s">
        <v>976</v>
      </c>
      <c r="C38" s="17" t="s">
        <v>970</v>
      </c>
      <c r="D38" s="17" t="s">
        <v>968</v>
      </c>
      <c r="E38" s="97">
        <v>10000</v>
      </c>
      <c r="F38" s="97">
        <v>9622.1054999999997</v>
      </c>
      <c r="G38" s="133">
        <f t="shared" si="0"/>
        <v>96221055</v>
      </c>
    </row>
    <row r="39" spans="1:7" x14ac:dyDescent="0.25">
      <c r="A39" s="37">
        <v>37</v>
      </c>
      <c r="B39" s="12" t="s">
        <v>977</v>
      </c>
      <c r="C39" s="17" t="s">
        <v>978</v>
      </c>
      <c r="D39" s="17" t="s">
        <v>14</v>
      </c>
      <c r="E39" s="97">
        <v>100</v>
      </c>
      <c r="F39" s="97">
        <v>1278.9000000000001</v>
      </c>
      <c r="G39" s="133">
        <f t="shared" si="0"/>
        <v>127890.00000000001</v>
      </c>
    </row>
    <row r="40" spans="1:7" x14ac:dyDescent="0.25">
      <c r="A40" s="37">
        <v>38</v>
      </c>
      <c r="B40" s="12" t="s">
        <v>979</v>
      </c>
      <c r="C40" s="17" t="s">
        <v>978</v>
      </c>
      <c r="D40" s="17" t="s">
        <v>14</v>
      </c>
      <c r="E40" s="97">
        <v>100</v>
      </c>
      <c r="F40" s="97">
        <v>1278.9000000000001</v>
      </c>
      <c r="G40" s="133">
        <f t="shared" si="0"/>
        <v>127890.00000000001</v>
      </c>
    </row>
    <row r="41" spans="1:7" x14ac:dyDescent="0.25">
      <c r="A41" s="37">
        <v>39</v>
      </c>
      <c r="B41" s="12" t="s">
        <v>980</v>
      </c>
      <c r="C41" s="17" t="s">
        <v>978</v>
      </c>
      <c r="D41" s="17" t="s">
        <v>14</v>
      </c>
      <c r="E41" s="97">
        <v>22000</v>
      </c>
      <c r="F41" s="97">
        <v>1278.9000000000001</v>
      </c>
      <c r="G41" s="133">
        <f t="shared" si="0"/>
        <v>28135800.000000004</v>
      </c>
    </row>
    <row r="42" spans="1:7" x14ac:dyDescent="0.25">
      <c r="A42" s="37">
        <v>40</v>
      </c>
      <c r="B42" s="12" t="s">
        <v>981</v>
      </c>
      <c r="C42" s="17" t="s">
        <v>978</v>
      </c>
      <c r="D42" s="17" t="s">
        <v>14</v>
      </c>
      <c r="E42" s="97">
        <v>28000</v>
      </c>
      <c r="F42" s="97">
        <v>1278.9000000000001</v>
      </c>
      <c r="G42" s="133">
        <f t="shared" si="0"/>
        <v>35809200</v>
      </c>
    </row>
    <row r="43" spans="1:7" x14ac:dyDescent="0.25">
      <c r="A43" s="37">
        <v>41</v>
      </c>
      <c r="B43" s="12" t="s">
        <v>982</v>
      </c>
      <c r="C43" s="17" t="s">
        <v>978</v>
      </c>
      <c r="D43" s="17" t="s">
        <v>14</v>
      </c>
      <c r="E43" s="97">
        <v>26000</v>
      </c>
      <c r="F43" s="97">
        <v>1278.9000000000001</v>
      </c>
      <c r="G43" s="133">
        <f t="shared" si="0"/>
        <v>33251400.000000004</v>
      </c>
    </row>
    <row r="44" spans="1:7" x14ac:dyDescent="0.25">
      <c r="A44" s="37">
        <v>42</v>
      </c>
      <c r="B44" s="12" t="s">
        <v>983</v>
      </c>
      <c r="C44" s="17" t="s">
        <v>978</v>
      </c>
      <c r="D44" s="17" t="s">
        <v>14</v>
      </c>
      <c r="E44" s="97">
        <v>17000</v>
      </c>
      <c r="F44" s="97">
        <v>1278.9000000000001</v>
      </c>
      <c r="G44" s="133">
        <f t="shared" si="0"/>
        <v>21741300</v>
      </c>
    </row>
    <row r="45" spans="1:7" x14ac:dyDescent="0.25">
      <c r="A45" s="37">
        <v>43</v>
      </c>
      <c r="B45" s="12" t="s">
        <v>984</v>
      </c>
      <c r="C45" s="17" t="s">
        <v>937</v>
      </c>
      <c r="D45" s="17" t="s">
        <v>14</v>
      </c>
      <c r="E45" s="97">
        <v>10000</v>
      </c>
      <c r="F45" s="97">
        <v>534.45000000000005</v>
      </c>
      <c r="G45" s="133">
        <f t="shared" si="0"/>
        <v>5344500</v>
      </c>
    </row>
    <row r="46" spans="1:7" x14ac:dyDescent="0.25">
      <c r="A46" s="37">
        <v>44</v>
      </c>
      <c r="B46" s="12" t="s">
        <v>985</v>
      </c>
      <c r="C46" s="17"/>
      <c r="D46" s="17" t="s">
        <v>14</v>
      </c>
      <c r="E46" s="97">
        <v>200</v>
      </c>
      <c r="F46" s="97">
        <v>13230</v>
      </c>
      <c r="G46" s="133">
        <f t="shared" si="0"/>
        <v>2646000</v>
      </c>
    </row>
    <row r="47" spans="1:7" x14ac:dyDescent="0.25">
      <c r="A47" s="37">
        <v>45</v>
      </c>
      <c r="B47" s="12" t="s">
        <v>986</v>
      </c>
      <c r="C47" s="17"/>
      <c r="D47" s="17" t="s">
        <v>14</v>
      </c>
      <c r="E47" s="97">
        <v>920</v>
      </c>
      <c r="F47" s="97">
        <v>9040.5</v>
      </c>
      <c r="G47" s="133">
        <f t="shared" si="0"/>
        <v>8317260</v>
      </c>
    </row>
    <row r="48" spans="1:7" x14ac:dyDescent="0.25">
      <c r="A48" s="37">
        <v>46</v>
      </c>
      <c r="B48" s="12" t="s">
        <v>987</v>
      </c>
      <c r="C48" s="17"/>
      <c r="D48" s="17" t="s">
        <v>14</v>
      </c>
      <c r="E48" s="97">
        <v>336</v>
      </c>
      <c r="F48" s="97">
        <v>13230</v>
      </c>
      <c r="G48" s="133">
        <f t="shared" si="0"/>
        <v>4445280</v>
      </c>
    </row>
    <row r="49" spans="1:7" x14ac:dyDescent="0.25">
      <c r="A49" s="37">
        <v>47</v>
      </c>
      <c r="B49" s="12" t="s">
        <v>988</v>
      </c>
      <c r="C49" s="17"/>
      <c r="D49" s="17" t="s">
        <v>989</v>
      </c>
      <c r="E49" s="97">
        <v>2</v>
      </c>
      <c r="F49" s="97">
        <v>64047.984000000004</v>
      </c>
      <c r="G49" s="133">
        <f t="shared" si="0"/>
        <v>128095.96800000001</v>
      </c>
    </row>
    <row r="50" spans="1:7" x14ac:dyDescent="0.25">
      <c r="A50" s="37">
        <v>48</v>
      </c>
      <c r="B50" s="12" t="s">
        <v>990</v>
      </c>
      <c r="C50" s="17"/>
      <c r="D50" s="17" t="s">
        <v>989</v>
      </c>
      <c r="E50" s="97">
        <v>2</v>
      </c>
      <c r="F50" s="97">
        <v>55748.784</v>
      </c>
      <c r="G50" s="133">
        <f t="shared" si="0"/>
        <v>111497.568</v>
      </c>
    </row>
    <row r="51" spans="1:7" x14ac:dyDescent="0.25">
      <c r="A51" s="37">
        <v>49</v>
      </c>
      <c r="B51" s="12" t="s">
        <v>991</v>
      </c>
      <c r="C51" s="17" t="s">
        <v>992</v>
      </c>
      <c r="D51" s="17" t="s">
        <v>35</v>
      </c>
      <c r="E51" s="97">
        <v>1500</v>
      </c>
      <c r="F51" s="97">
        <v>64949.188500000004</v>
      </c>
      <c r="G51" s="133">
        <f t="shared" si="0"/>
        <v>97423782.75</v>
      </c>
    </row>
    <row r="52" spans="1:7" s="113" customFormat="1" x14ac:dyDescent="0.25">
      <c r="A52" s="37">
        <v>50</v>
      </c>
      <c r="B52" s="12" t="s">
        <v>1515</v>
      </c>
      <c r="C52" s="17"/>
      <c r="D52" s="17" t="s">
        <v>14</v>
      </c>
      <c r="E52" s="97">
        <v>4</v>
      </c>
      <c r="F52" s="97">
        <v>410700</v>
      </c>
      <c r="G52" s="133">
        <f t="shared" si="0"/>
        <v>1642800</v>
      </c>
    </row>
    <row r="53" spans="1:7" x14ac:dyDescent="0.25">
      <c r="A53" s="37">
        <v>51</v>
      </c>
      <c r="B53" s="12" t="s">
        <v>993</v>
      </c>
      <c r="C53" s="17"/>
      <c r="D53" s="17" t="s">
        <v>721</v>
      </c>
      <c r="E53" s="97">
        <v>100</v>
      </c>
      <c r="F53" s="97">
        <v>20446.965</v>
      </c>
      <c r="G53" s="133">
        <f t="shared" si="0"/>
        <v>2044696.5</v>
      </c>
    </row>
    <row r="54" spans="1:7" x14ac:dyDescent="0.25">
      <c r="A54" s="37">
        <v>52</v>
      </c>
      <c r="B54" s="12" t="s">
        <v>994</v>
      </c>
      <c r="C54" s="17" t="s">
        <v>995</v>
      </c>
      <c r="D54" s="17" t="s">
        <v>968</v>
      </c>
      <c r="E54" s="97">
        <v>1800</v>
      </c>
      <c r="F54" s="97">
        <v>6615</v>
      </c>
      <c r="G54" s="133">
        <f t="shared" si="0"/>
        <v>11907000</v>
      </c>
    </row>
    <row r="55" spans="1:7" s="113" customFormat="1" x14ac:dyDescent="0.25">
      <c r="A55" s="37">
        <v>53</v>
      </c>
      <c r="B55" s="12" t="s">
        <v>1519</v>
      </c>
      <c r="C55" s="17"/>
      <c r="D55" s="17" t="s">
        <v>14</v>
      </c>
      <c r="E55" s="97">
        <v>12</v>
      </c>
      <c r="F55" s="97">
        <v>377400</v>
      </c>
      <c r="G55" s="133">
        <f t="shared" si="0"/>
        <v>4528800</v>
      </c>
    </row>
    <row r="56" spans="1:7" s="113" customFormat="1" x14ac:dyDescent="0.25">
      <c r="A56" s="37">
        <v>54</v>
      </c>
      <c r="B56" s="12" t="s">
        <v>1518</v>
      </c>
      <c r="C56" s="17"/>
      <c r="D56" s="17" t="s">
        <v>14</v>
      </c>
      <c r="E56" s="97">
        <v>12</v>
      </c>
      <c r="F56" s="97">
        <v>388500</v>
      </c>
      <c r="G56" s="133">
        <f t="shared" si="0"/>
        <v>4662000</v>
      </c>
    </row>
    <row r="57" spans="1:7" x14ac:dyDescent="0.25">
      <c r="A57" s="37">
        <v>55</v>
      </c>
      <c r="B57" s="12" t="s">
        <v>1517</v>
      </c>
      <c r="C57" s="17"/>
      <c r="D57" s="17" t="s">
        <v>968</v>
      </c>
      <c r="E57" s="97">
        <v>1200</v>
      </c>
      <c r="F57" s="97">
        <v>551.25</v>
      </c>
      <c r="G57" s="133">
        <f t="shared" si="0"/>
        <v>661500</v>
      </c>
    </row>
    <row r="58" spans="1:7" x14ac:dyDescent="0.25">
      <c r="A58" s="37">
        <v>56</v>
      </c>
      <c r="B58" s="12" t="s">
        <v>996</v>
      </c>
      <c r="C58" s="17"/>
      <c r="D58" s="17" t="s">
        <v>997</v>
      </c>
      <c r="E58" s="97">
        <v>300</v>
      </c>
      <c r="F58" s="97">
        <v>3641.1795000000002</v>
      </c>
      <c r="G58" s="133">
        <f t="shared" si="0"/>
        <v>1092353.8500000001</v>
      </c>
    </row>
    <row r="59" spans="1:7" s="113" customFormat="1" x14ac:dyDescent="0.25">
      <c r="A59" s="37">
        <v>57</v>
      </c>
      <c r="B59" s="12" t="s">
        <v>1533</v>
      </c>
      <c r="C59" s="17"/>
      <c r="D59" s="17" t="s">
        <v>14</v>
      </c>
      <c r="E59" s="97">
        <v>12</v>
      </c>
      <c r="F59" s="97">
        <v>144115</v>
      </c>
      <c r="G59" s="133">
        <f t="shared" si="0"/>
        <v>1729380</v>
      </c>
    </row>
    <row r="60" spans="1:7" ht="22.5" x14ac:dyDescent="0.25">
      <c r="A60" s="37">
        <v>58</v>
      </c>
      <c r="B60" s="12" t="s">
        <v>998</v>
      </c>
      <c r="C60" s="17" t="s">
        <v>999</v>
      </c>
      <c r="D60" s="17" t="s">
        <v>14</v>
      </c>
      <c r="E60" s="97">
        <v>1000</v>
      </c>
      <c r="F60" s="97">
        <v>2679.6</v>
      </c>
      <c r="G60" s="133">
        <f t="shared" si="0"/>
        <v>2679600</v>
      </c>
    </row>
    <row r="61" spans="1:7" ht="22.5" x14ac:dyDescent="0.25">
      <c r="A61" s="37">
        <v>59</v>
      </c>
      <c r="B61" s="12" t="s">
        <v>998</v>
      </c>
      <c r="C61" s="17" t="s">
        <v>999</v>
      </c>
      <c r="D61" s="17" t="s">
        <v>14</v>
      </c>
      <c r="E61" s="97">
        <v>80</v>
      </c>
      <c r="F61" s="97">
        <v>9607.5</v>
      </c>
      <c r="G61" s="133">
        <f t="shared" si="0"/>
        <v>768600</v>
      </c>
    </row>
    <row r="62" spans="1:7" s="113" customFormat="1" x14ac:dyDescent="0.25">
      <c r="A62" s="37">
        <v>60</v>
      </c>
      <c r="B62" s="12" t="s">
        <v>1534</v>
      </c>
      <c r="C62" s="17"/>
      <c r="D62" s="17" t="s">
        <v>14</v>
      </c>
      <c r="E62" s="97">
        <v>6</v>
      </c>
      <c r="F62" s="97">
        <v>144115</v>
      </c>
      <c r="G62" s="133">
        <f t="shared" si="0"/>
        <v>864690</v>
      </c>
    </row>
    <row r="63" spans="1:7" s="113" customFormat="1" x14ac:dyDescent="0.25">
      <c r="A63" s="37">
        <v>61</v>
      </c>
      <c r="B63" s="12" t="s">
        <v>1535</v>
      </c>
      <c r="C63" s="17"/>
      <c r="D63" s="17" t="s">
        <v>14</v>
      </c>
      <c r="E63" s="97">
        <v>6</v>
      </c>
      <c r="F63" s="97">
        <v>144115</v>
      </c>
      <c r="G63" s="133">
        <f t="shared" si="0"/>
        <v>864690</v>
      </c>
    </row>
    <row r="64" spans="1:7" s="113" customFormat="1" x14ac:dyDescent="0.25">
      <c r="A64" s="37">
        <v>62</v>
      </c>
      <c r="B64" s="12" t="s">
        <v>1536</v>
      </c>
      <c r="C64" s="17"/>
      <c r="D64" s="17" t="s">
        <v>14</v>
      </c>
      <c r="E64" s="97">
        <v>6</v>
      </c>
      <c r="F64" s="97">
        <v>75850</v>
      </c>
      <c r="G64" s="133">
        <f t="shared" si="0"/>
        <v>455100</v>
      </c>
    </row>
    <row r="65" spans="1:7" s="113" customFormat="1" ht="45" x14ac:dyDescent="0.25">
      <c r="A65" s="37">
        <v>63</v>
      </c>
      <c r="B65" s="12" t="s">
        <v>1610</v>
      </c>
      <c r="C65" s="17"/>
      <c r="D65" s="17" t="s">
        <v>14</v>
      </c>
      <c r="E65" s="97">
        <v>8</v>
      </c>
      <c r="F65" s="97">
        <v>569800</v>
      </c>
      <c r="G65" s="133">
        <f t="shared" si="0"/>
        <v>4558400</v>
      </c>
    </row>
    <row r="66" spans="1:7" x14ac:dyDescent="0.25">
      <c r="A66" s="37">
        <v>64</v>
      </c>
      <c r="B66" s="12" t="s">
        <v>1000</v>
      </c>
      <c r="C66" s="17"/>
      <c r="D66" s="17" t="s">
        <v>938</v>
      </c>
      <c r="E66" s="97">
        <v>5</v>
      </c>
      <c r="F66" s="97">
        <v>1010320.6365</v>
      </c>
      <c r="G66" s="133">
        <f t="shared" si="0"/>
        <v>5051603.1825000001</v>
      </c>
    </row>
    <row r="67" spans="1:7" x14ac:dyDescent="0.25">
      <c r="A67" s="37">
        <v>65</v>
      </c>
      <c r="B67" s="12" t="s">
        <v>818</v>
      </c>
      <c r="C67" s="17"/>
      <c r="D67" s="17" t="s">
        <v>14</v>
      </c>
      <c r="E67" s="97">
        <v>600</v>
      </c>
      <c r="F67" s="97">
        <v>9030</v>
      </c>
      <c r="G67" s="133">
        <f t="shared" si="0"/>
        <v>5418000</v>
      </c>
    </row>
    <row r="68" spans="1:7" x14ac:dyDescent="0.25">
      <c r="A68" s="37">
        <v>66</v>
      </c>
      <c r="B68" s="12" t="s">
        <v>1001</v>
      </c>
      <c r="C68" s="17" t="s">
        <v>937</v>
      </c>
      <c r="D68" s="17" t="s">
        <v>968</v>
      </c>
      <c r="E68" s="97">
        <v>24000</v>
      </c>
      <c r="F68" s="97">
        <v>1268.4000000000001</v>
      </c>
      <c r="G68" s="133">
        <f t="shared" si="0"/>
        <v>30441600.000000004</v>
      </c>
    </row>
    <row r="69" spans="1:7" x14ac:dyDescent="0.25">
      <c r="A69" s="37">
        <v>67</v>
      </c>
      <c r="B69" s="12" t="s">
        <v>1002</v>
      </c>
      <c r="C69" s="17" t="s">
        <v>937</v>
      </c>
      <c r="D69" s="17" t="s">
        <v>968</v>
      </c>
      <c r="E69" s="97">
        <v>16000</v>
      </c>
      <c r="F69" s="97">
        <v>1984.5</v>
      </c>
      <c r="G69" s="133">
        <f t="shared" si="0"/>
        <v>31752000</v>
      </c>
    </row>
    <row r="70" spans="1:7" x14ac:dyDescent="0.25">
      <c r="A70" s="37">
        <v>68</v>
      </c>
      <c r="B70" s="12" t="s">
        <v>1003</v>
      </c>
      <c r="C70" s="17"/>
      <c r="D70" s="17" t="s">
        <v>968</v>
      </c>
      <c r="E70" s="97">
        <v>1000</v>
      </c>
      <c r="F70" s="97">
        <v>4225.0844999999999</v>
      </c>
      <c r="G70" s="133">
        <f t="shared" si="0"/>
        <v>4225084.5</v>
      </c>
    </row>
    <row r="71" spans="1:7" ht="22.5" x14ac:dyDescent="0.25">
      <c r="A71" s="37">
        <v>69</v>
      </c>
      <c r="B71" s="12" t="s">
        <v>1004</v>
      </c>
      <c r="C71" s="17"/>
      <c r="D71" s="17" t="s">
        <v>968</v>
      </c>
      <c r="E71" s="97">
        <v>1000</v>
      </c>
      <c r="F71" s="97">
        <v>4282.6559999999999</v>
      </c>
      <c r="G71" s="133">
        <f t="shared" si="0"/>
        <v>4282656</v>
      </c>
    </row>
    <row r="72" spans="1:7" ht="22.5" x14ac:dyDescent="0.25">
      <c r="A72" s="37">
        <v>70</v>
      </c>
      <c r="B72" s="12" t="s">
        <v>1005</v>
      </c>
      <c r="C72" s="17"/>
      <c r="D72" s="17" t="s">
        <v>1006</v>
      </c>
      <c r="E72" s="97">
        <v>600</v>
      </c>
      <c r="F72" s="97">
        <v>98688.218999999997</v>
      </c>
      <c r="G72" s="133">
        <f t="shared" si="0"/>
        <v>59212931.399999999</v>
      </c>
    </row>
    <row r="73" spans="1:7" x14ac:dyDescent="0.25">
      <c r="A73" s="37">
        <v>71</v>
      </c>
      <c r="B73" s="12" t="s">
        <v>1007</v>
      </c>
      <c r="C73" s="17"/>
      <c r="D73" s="17" t="s">
        <v>938</v>
      </c>
      <c r="E73" s="97">
        <v>10</v>
      </c>
      <c r="F73" s="97">
        <v>174760.383</v>
      </c>
      <c r="G73" s="133">
        <f t="shared" si="0"/>
        <v>1747603.83</v>
      </c>
    </row>
    <row r="74" spans="1:7" x14ac:dyDescent="0.25">
      <c r="A74" s="37">
        <v>72</v>
      </c>
      <c r="B74" s="12" t="s">
        <v>1008</v>
      </c>
      <c r="C74" s="17"/>
      <c r="D74" s="17" t="s">
        <v>1009</v>
      </c>
      <c r="E74" s="97">
        <v>2</v>
      </c>
      <c r="F74" s="97">
        <v>174760.383</v>
      </c>
      <c r="G74" s="133">
        <f t="shared" si="0"/>
        <v>349520.766</v>
      </c>
    </row>
    <row r="75" spans="1:7" x14ac:dyDescent="0.25">
      <c r="A75" s="37">
        <v>73</v>
      </c>
      <c r="B75" s="12" t="s">
        <v>1010</v>
      </c>
      <c r="C75" s="17"/>
      <c r="D75" s="17" t="s">
        <v>14</v>
      </c>
      <c r="E75" s="97">
        <v>344</v>
      </c>
      <c r="F75" s="97">
        <v>8268.75</v>
      </c>
      <c r="G75" s="133">
        <f t="shared" si="0"/>
        <v>2844450</v>
      </c>
    </row>
    <row r="76" spans="1:7" x14ac:dyDescent="0.25">
      <c r="A76" s="37">
        <v>74</v>
      </c>
      <c r="B76" s="12" t="s">
        <v>1011</v>
      </c>
      <c r="C76" s="17"/>
      <c r="D76" s="17" t="s">
        <v>1009</v>
      </c>
      <c r="E76" s="97">
        <v>2</v>
      </c>
      <c r="F76" s="97">
        <v>174760.383</v>
      </c>
      <c r="G76" s="133">
        <f t="shared" si="0"/>
        <v>349520.766</v>
      </c>
    </row>
    <row r="77" spans="1:7" x14ac:dyDescent="0.25">
      <c r="A77" s="37">
        <v>75</v>
      </c>
      <c r="B77" s="12" t="s">
        <v>1012</v>
      </c>
      <c r="C77" s="17"/>
      <c r="D77" s="17" t="s">
        <v>14</v>
      </c>
      <c r="E77" s="97">
        <v>444</v>
      </c>
      <c r="F77" s="97">
        <v>8268.75</v>
      </c>
      <c r="G77" s="133">
        <f t="shared" si="0"/>
        <v>3671325</v>
      </c>
    </row>
    <row r="78" spans="1:7" x14ac:dyDescent="0.25">
      <c r="A78" s="37">
        <v>76</v>
      </c>
      <c r="B78" s="12" t="s">
        <v>1013</v>
      </c>
      <c r="C78" s="17"/>
      <c r="D78" s="17" t="s">
        <v>1009</v>
      </c>
      <c r="E78" s="97">
        <v>2</v>
      </c>
      <c r="F78" s="97">
        <v>174760.383</v>
      </c>
      <c r="G78" s="133">
        <f t="shared" si="0"/>
        <v>349520.766</v>
      </c>
    </row>
    <row r="79" spans="1:7" x14ac:dyDescent="0.25">
      <c r="A79" s="37">
        <v>77</v>
      </c>
      <c r="B79" s="12" t="s">
        <v>1014</v>
      </c>
      <c r="C79" s="17" t="s">
        <v>1015</v>
      </c>
      <c r="D79" s="17" t="s">
        <v>1016</v>
      </c>
      <c r="E79" s="97">
        <v>100</v>
      </c>
      <c r="F79" s="97">
        <v>172502.89350000001</v>
      </c>
      <c r="G79" s="133">
        <f t="shared" si="0"/>
        <v>17250289.350000001</v>
      </c>
    </row>
    <row r="80" spans="1:7" s="113" customFormat="1" x14ac:dyDescent="0.25">
      <c r="A80" s="37">
        <v>78</v>
      </c>
      <c r="B80" s="12" t="s">
        <v>1528</v>
      </c>
      <c r="C80" s="17"/>
      <c r="D80" s="17" t="s">
        <v>14</v>
      </c>
      <c r="E80" s="97">
        <v>24</v>
      </c>
      <c r="F80" s="97">
        <v>125430</v>
      </c>
      <c r="G80" s="133">
        <f t="shared" si="0"/>
        <v>3010320</v>
      </c>
    </row>
    <row r="81" spans="1:7" ht="22.5" x14ac:dyDescent="0.25">
      <c r="A81" s="37">
        <v>79</v>
      </c>
      <c r="B81" s="12" t="s">
        <v>1017</v>
      </c>
      <c r="C81" s="17" t="s">
        <v>999</v>
      </c>
      <c r="D81" s="17" t="s">
        <v>35</v>
      </c>
      <c r="E81" s="97">
        <v>500</v>
      </c>
      <c r="F81" s="97">
        <v>58432.5</v>
      </c>
      <c r="G81" s="133">
        <f t="shared" si="0"/>
        <v>29216250</v>
      </c>
    </row>
    <row r="82" spans="1:7" x14ac:dyDescent="0.25">
      <c r="A82" s="37">
        <v>80</v>
      </c>
      <c r="B82" s="12" t="s">
        <v>1018</v>
      </c>
      <c r="C82" s="17"/>
      <c r="D82" s="17" t="s">
        <v>151</v>
      </c>
      <c r="E82" s="97">
        <v>800</v>
      </c>
      <c r="F82" s="97">
        <v>17254.650000000001</v>
      </c>
      <c r="G82" s="133">
        <f t="shared" si="0"/>
        <v>13803720.000000002</v>
      </c>
    </row>
    <row r="83" spans="1:7" x14ac:dyDescent="0.25">
      <c r="A83" s="37">
        <v>81</v>
      </c>
      <c r="B83" s="12" t="s">
        <v>1019</v>
      </c>
      <c r="C83" s="17"/>
      <c r="D83" s="17" t="s">
        <v>14</v>
      </c>
      <c r="E83" s="97">
        <v>40000</v>
      </c>
      <c r="F83" s="97">
        <v>132.30000000000001</v>
      </c>
      <c r="G83" s="133">
        <f t="shared" si="0"/>
        <v>5292000</v>
      </c>
    </row>
    <row r="84" spans="1:7" x14ac:dyDescent="0.25">
      <c r="A84" s="37">
        <v>82</v>
      </c>
      <c r="B84" s="12" t="s">
        <v>1020</v>
      </c>
      <c r="C84" s="17"/>
      <c r="D84" s="17" t="s">
        <v>14</v>
      </c>
      <c r="E84" s="97">
        <v>52200</v>
      </c>
      <c r="F84" s="97">
        <v>132.30000000000001</v>
      </c>
      <c r="G84" s="133">
        <f t="shared" ref="G84:G177" si="1">+F84*E84</f>
        <v>6906060.0000000009</v>
      </c>
    </row>
    <row r="85" spans="1:7" x14ac:dyDescent="0.25">
      <c r="A85" s="37">
        <v>83</v>
      </c>
      <c r="B85" s="12" t="s">
        <v>1021</v>
      </c>
      <c r="C85" s="17"/>
      <c r="D85" s="17" t="s">
        <v>14</v>
      </c>
      <c r="E85" s="97">
        <v>52200</v>
      </c>
      <c r="F85" s="97">
        <v>132.30000000000001</v>
      </c>
      <c r="G85" s="133">
        <f t="shared" si="1"/>
        <v>6906060.0000000009</v>
      </c>
    </row>
    <row r="86" spans="1:7" x14ac:dyDescent="0.25">
      <c r="A86" s="37">
        <v>84</v>
      </c>
      <c r="B86" s="12" t="s">
        <v>1022</v>
      </c>
      <c r="C86" s="17"/>
      <c r="D86" s="17" t="s">
        <v>1023</v>
      </c>
      <c r="E86" s="97">
        <v>100</v>
      </c>
      <c r="F86" s="97">
        <v>109200</v>
      </c>
      <c r="G86" s="133">
        <f t="shared" si="1"/>
        <v>10920000</v>
      </c>
    </row>
    <row r="87" spans="1:7" x14ac:dyDescent="0.25">
      <c r="A87" s="37">
        <v>85</v>
      </c>
      <c r="B87" s="12" t="s">
        <v>1024</v>
      </c>
      <c r="C87" s="17"/>
      <c r="D87" s="17" t="s">
        <v>1023</v>
      </c>
      <c r="E87" s="97">
        <v>160</v>
      </c>
      <c r="F87" s="97">
        <v>109200</v>
      </c>
      <c r="G87" s="133">
        <f t="shared" si="1"/>
        <v>17472000</v>
      </c>
    </row>
    <row r="88" spans="1:7" x14ac:dyDescent="0.25">
      <c r="A88" s="37">
        <v>86</v>
      </c>
      <c r="B88" s="12" t="s">
        <v>1025</v>
      </c>
      <c r="C88" s="17"/>
      <c r="D88" s="17" t="s">
        <v>1023</v>
      </c>
      <c r="E88" s="97">
        <v>60</v>
      </c>
      <c r="F88" s="97">
        <v>109200</v>
      </c>
      <c r="G88" s="133">
        <f t="shared" si="1"/>
        <v>6552000</v>
      </c>
    </row>
    <row r="89" spans="1:7" x14ac:dyDescent="0.25">
      <c r="A89" s="37">
        <v>87</v>
      </c>
      <c r="B89" s="12" t="s">
        <v>1026</v>
      </c>
      <c r="C89" s="17"/>
      <c r="D89" s="17" t="s">
        <v>1023</v>
      </c>
      <c r="E89" s="97">
        <v>40</v>
      </c>
      <c r="F89" s="97">
        <v>109200</v>
      </c>
      <c r="G89" s="133">
        <f t="shared" si="1"/>
        <v>4368000</v>
      </c>
    </row>
    <row r="90" spans="1:7" x14ac:dyDescent="0.25">
      <c r="A90" s="37">
        <v>88</v>
      </c>
      <c r="B90" s="12" t="s">
        <v>1027</v>
      </c>
      <c r="C90" s="17"/>
      <c r="D90" s="17" t="s">
        <v>6</v>
      </c>
      <c r="E90" s="97">
        <v>150</v>
      </c>
      <c r="F90" s="97">
        <v>5292</v>
      </c>
      <c r="G90" s="133">
        <f t="shared" si="1"/>
        <v>793800</v>
      </c>
    </row>
    <row r="91" spans="1:7" s="113" customFormat="1" x14ac:dyDescent="0.25">
      <c r="A91" s="37">
        <v>89</v>
      </c>
      <c r="B91" s="12" t="s">
        <v>1516</v>
      </c>
      <c r="C91" s="17"/>
      <c r="D91" s="17" t="s">
        <v>14</v>
      </c>
      <c r="E91" s="97">
        <v>8</v>
      </c>
      <c r="F91" s="97">
        <v>205350</v>
      </c>
      <c r="G91" s="133">
        <f t="shared" si="1"/>
        <v>1642800</v>
      </c>
    </row>
    <row r="92" spans="1:7" s="113" customFormat="1" x14ac:dyDescent="0.25">
      <c r="A92" s="37">
        <v>90</v>
      </c>
      <c r="B92" s="12" t="s">
        <v>1554</v>
      </c>
      <c r="C92" s="17"/>
      <c r="D92" s="17" t="s">
        <v>14</v>
      </c>
      <c r="E92" s="97">
        <v>6</v>
      </c>
      <c r="F92" s="97">
        <v>256595</v>
      </c>
      <c r="G92" s="133">
        <f t="shared" si="1"/>
        <v>1539570</v>
      </c>
    </row>
    <row r="93" spans="1:7" ht="22.5" x14ac:dyDescent="0.25">
      <c r="A93" s="37">
        <v>91</v>
      </c>
      <c r="B93" s="12" t="s">
        <v>1028</v>
      </c>
      <c r="C93" s="17"/>
      <c r="D93" s="17" t="s">
        <v>6</v>
      </c>
      <c r="E93" s="97">
        <v>150</v>
      </c>
      <c r="F93" s="97">
        <v>5292</v>
      </c>
      <c r="G93" s="133">
        <f t="shared" si="1"/>
        <v>793800</v>
      </c>
    </row>
    <row r="94" spans="1:7" x14ac:dyDescent="0.25">
      <c r="A94" s="37">
        <v>92</v>
      </c>
      <c r="B94" s="12" t="s">
        <v>1029</v>
      </c>
      <c r="C94" s="17"/>
      <c r="D94" s="17" t="s">
        <v>938</v>
      </c>
      <c r="E94" s="97"/>
      <c r="F94" s="97">
        <v>49344.109499999999</v>
      </c>
      <c r="G94" s="133">
        <f t="shared" si="1"/>
        <v>0</v>
      </c>
    </row>
    <row r="95" spans="1:7" x14ac:dyDescent="0.25">
      <c r="A95" s="37">
        <v>93</v>
      </c>
      <c r="B95" s="12" t="s">
        <v>1030</v>
      </c>
      <c r="C95" s="17"/>
      <c r="D95" s="17" t="s">
        <v>938</v>
      </c>
      <c r="E95" s="97">
        <v>300</v>
      </c>
      <c r="F95" s="97">
        <v>49344.109499999999</v>
      </c>
      <c r="G95" s="133">
        <f t="shared" si="1"/>
        <v>14803232.85</v>
      </c>
    </row>
    <row r="96" spans="1:7" x14ac:dyDescent="0.25">
      <c r="A96" s="37">
        <v>94</v>
      </c>
      <c r="B96" s="12" t="s">
        <v>1031</v>
      </c>
      <c r="C96" s="17"/>
      <c r="D96" s="17" t="s">
        <v>938</v>
      </c>
      <c r="E96" s="97"/>
      <c r="F96" s="97">
        <v>49344.109499999999</v>
      </c>
      <c r="G96" s="133">
        <f t="shared" si="1"/>
        <v>0</v>
      </c>
    </row>
    <row r="97" spans="1:7" s="113" customFormat="1" x14ac:dyDescent="0.25">
      <c r="A97" s="37">
        <v>95</v>
      </c>
      <c r="B97" s="12" t="s">
        <v>1520</v>
      </c>
      <c r="C97" s="17"/>
      <c r="D97" s="17" t="s">
        <v>14</v>
      </c>
      <c r="E97" s="97">
        <v>6</v>
      </c>
      <c r="F97" s="97">
        <v>492100</v>
      </c>
      <c r="G97" s="133">
        <f t="shared" si="1"/>
        <v>2952600</v>
      </c>
    </row>
    <row r="98" spans="1:7" x14ac:dyDescent="0.25">
      <c r="A98" s="37">
        <v>96</v>
      </c>
      <c r="B98" s="12" t="s">
        <v>1032</v>
      </c>
      <c r="C98" s="17" t="s">
        <v>967</v>
      </c>
      <c r="D98" s="17" t="s">
        <v>6</v>
      </c>
      <c r="E98" s="97">
        <v>1500</v>
      </c>
      <c r="F98" s="97">
        <v>4848.8999999999996</v>
      </c>
      <c r="G98" s="133">
        <f t="shared" si="1"/>
        <v>7273349.9999999991</v>
      </c>
    </row>
    <row r="99" spans="1:7" x14ac:dyDescent="0.25">
      <c r="A99" s="37">
        <v>97</v>
      </c>
      <c r="B99" s="12" t="s">
        <v>1033</v>
      </c>
      <c r="C99" s="17" t="s">
        <v>937</v>
      </c>
      <c r="D99" s="17" t="s">
        <v>938</v>
      </c>
      <c r="E99" s="97"/>
      <c r="F99" s="97">
        <v>74793.337499999994</v>
      </c>
      <c r="G99" s="133">
        <f t="shared" si="1"/>
        <v>0</v>
      </c>
    </row>
    <row r="100" spans="1:7" x14ac:dyDescent="0.25">
      <c r="A100" s="37">
        <v>98</v>
      </c>
      <c r="B100" s="12" t="s">
        <v>1034</v>
      </c>
      <c r="C100" s="17" t="s">
        <v>937</v>
      </c>
      <c r="D100" s="17" t="s">
        <v>938</v>
      </c>
      <c r="E100" s="97">
        <v>1</v>
      </c>
      <c r="F100" s="97">
        <v>74793.337499999994</v>
      </c>
      <c r="G100" s="133">
        <f t="shared" si="1"/>
        <v>74793.337499999994</v>
      </c>
    </row>
    <row r="101" spans="1:7" x14ac:dyDescent="0.25">
      <c r="A101" s="37">
        <v>99</v>
      </c>
      <c r="B101" s="12" t="s">
        <v>1035</v>
      </c>
      <c r="C101" s="17" t="s">
        <v>937</v>
      </c>
      <c r="D101" s="17" t="s">
        <v>938</v>
      </c>
      <c r="E101" s="97">
        <v>2</v>
      </c>
      <c r="F101" s="97">
        <v>74793.337499999994</v>
      </c>
      <c r="G101" s="133">
        <f t="shared" si="1"/>
        <v>149586.67499999999</v>
      </c>
    </row>
    <row r="102" spans="1:7" x14ac:dyDescent="0.25">
      <c r="A102" s="37">
        <v>100</v>
      </c>
      <c r="B102" s="12" t="s">
        <v>1036</v>
      </c>
      <c r="C102" s="17" t="s">
        <v>937</v>
      </c>
      <c r="D102" s="17" t="s">
        <v>14</v>
      </c>
      <c r="E102" s="97">
        <v>200000</v>
      </c>
      <c r="F102" s="97">
        <v>276.14999999999998</v>
      </c>
      <c r="G102" s="133">
        <f t="shared" si="1"/>
        <v>55229999.999999993</v>
      </c>
    </row>
    <row r="103" spans="1:7" x14ac:dyDescent="0.25">
      <c r="A103" s="37">
        <v>101</v>
      </c>
      <c r="B103" s="12" t="s">
        <v>1037</v>
      </c>
      <c r="C103" s="17" t="s">
        <v>937</v>
      </c>
      <c r="D103" s="17" t="s">
        <v>1038</v>
      </c>
      <c r="E103" s="97">
        <v>15</v>
      </c>
      <c r="F103" s="97">
        <v>74793.337499999994</v>
      </c>
      <c r="G103" s="133">
        <f t="shared" si="1"/>
        <v>1121900.0625</v>
      </c>
    </row>
    <row r="104" spans="1:7" x14ac:dyDescent="0.25">
      <c r="A104" s="37">
        <v>102</v>
      </c>
      <c r="B104" s="12" t="s">
        <v>1039</v>
      </c>
      <c r="C104" s="17" t="s">
        <v>937</v>
      </c>
      <c r="D104" s="17" t="s">
        <v>14</v>
      </c>
      <c r="E104" s="97">
        <v>1000</v>
      </c>
      <c r="F104" s="97">
        <v>1422.75</v>
      </c>
      <c r="G104" s="133">
        <f t="shared" si="1"/>
        <v>1422750</v>
      </c>
    </row>
    <row r="105" spans="1:7" x14ac:dyDescent="0.25">
      <c r="A105" s="37">
        <v>103</v>
      </c>
      <c r="B105" s="12" t="s">
        <v>1040</v>
      </c>
      <c r="C105" s="17" t="s">
        <v>937</v>
      </c>
      <c r="D105" s="17" t="s">
        <v>1038</v>
      </c>
      <c r="E105" s="97">
        <v>60</v>
      </c>
      <c r="F105" s="97">
        <v>74793.337499999994</v>
      </c>
      <c r="G105" s="133">
        <f t="shared" si="1"/>
        <v>4487600.25</v>
      </c>
    </row>
    <row r="106" spans="1:7" x14ac:dyDescent="0.25">
      <c r="A106" s="37">
        <v>104</v>
      </c>
      <c r="B106" s="12" t="s">
        <v>1041</v>
      </c>
      <c r="C106" s="17" t="s">
        <v>937</v>
      </c>
      <c r="D106" s="17" t="s">
        <v>14</v>
      </c>
      <c r="E106" s="97">
        <v>80000</v>
      </c>
      <c r="F106" s="97">
        <v>176.4</v>
      </c>
      <c r="G106" s="133">
        <f t="shared" si="1"/>
        <v>14112000</v>
      </c>
    </row>
    <row r="107" spans="1:7" x14ac:dyDescent="0.25">
      <c r="A107" s="37">
        <v>105</v>
      </c>
      <c r="B107" s="12" t="s">
        <v>1042</v>
      </c>
      <c r="C107" s="17" t="s">
        <v>937</v>
      </c>
      <c r="D107" s="17" t="s">
        <v>14</v>
      </c>
      <c r="E107" s="97">
        <v>130000</v>
      </c>
      <c r="F107" s="97">
        <v>259.35000000000002</v>
      </c>
      <c r="G107" s="133">
        <f t="shared" si="1"/>
        <v>33715500</v>
      </c>
    </row>
    <row r="108" spans="1:7" x14ac:dyDescent="0.25">
      <c r="A108" s="37">
        <v>106</v>
      </c>
      <c r="B108" s="12" t="s">
        <v>1043</v>
      </c>
      <c r="C108" s="17" t="s">
        <v>967</v>
      </c>
      <c r="D108" s="17" t="s">
        <v>968</v>
      </c>
      <c r="E108" s="97"/>
      <c r="F108" s="97">
        <v>20765.6505</v>
      </c>
      <c r="G108" s="133">
        <f t="shared" si="1"/>
        <v>0</v>
      </c>
    </row>
    <row r="109" spans="1:7" ht="22.5" x14ac:dyDescent="0.25">
      <c r="A109" s="37">
        <v>107</v>
      </c>
      <c r="B109" s="12" t="s">
        <v>1044</v>
      </c>
      <c r="C109" s="17"/>
      <c r="D109" s="17" t="s">
        <v>14</v>
      </c>
      <c r="E109" s="97">
        <v>17600</v>
      </c>
      <c r="F109" s="97">
        <v>5512.5</v>
      </c>
      <c r="G109" s="133">
        <f t="shared" si="1"/>
        <v>97020000</v>
      </c>
    </row>
    <row r="110" spans="1:7" ht="22.5" x14ac:dyDescent="0.25">
      <c r="A110" s="37">
        <v>108</v>
      </c>
      <c r="B110" s="47" t="s">
        <v>1045</v>
      </c>
      <c r="C110" s="17"/>
      <c r="D110" s="17" t="s">
        <v>14</v>
      </c>
      <c r="E110" s="97">
        <v>19600</v>
      </c>
      <c r="F110" s="97">
        <v>5512.5</v>
      </c>
      <c r="G110" s="133">
        <f t="shared" si="1"/>
        <v>108045000</v>
      </c>
    </row>
    <row r="111" spans="1:7" ht="22.5" x14ac:dyDescent="0.25">
      <c r="A111" s="37">
        <v>109</v>
      </c>
      <c r="B111" s="12" t="s">
        <v>1046</v>
      </c>
      <c r="C111" s="17"/>
      <c r="D111" s="17" t="s">
        <v>938</v>
      </c>
      <c r="E111" s="97"/>
      <c r="F111" s="97">
        <v>59624.1345</v>
      </c>
      <c r="G111" s="133">
        <f t="shared" si="1"/>
        <v>0</v>
      </c>
    </row>
    <row r="112" spans="1:7" ht="22.5" x14ac:dyDescent="0.25">
      <c r="A112" s="37">
        <v>110</v>
      </c>
      <c r="B112" s="47" t="s">
        <v>1047</v>
      </c>
      <c r="C112" s="17"/>
      <c r="D112" s="17" t="s">
        <v>997</v>
      </c>
      <c r="E112" s="97">
        <v>130</v>
      </c>
      <c r="F112" s="97">
        <v>133980</v>
      </c>
      <c r="G112" s="133">
        <f t="shared" si="1"/>
        <v>17417400</v>
      </c>
    </row>
    <row r="113" spans="1:7" ht="22.5" x14ac:dyDescent="0.25">
      <c r="A113" s="37">
        <v>111</v>
      </c>
      <c r="B113" s="47" t="s">
        <v>1048</v>
      </c>
      <c r="C113" s="17"/>
      <c r="D113" s="17" t="s">
        <v>997</v>
      </c>
      <c r="E113" s="97">
        <v>130</v>
      </c>
      <c r="F113" s="97">
        <v>168084</v>
      </c>
      <c r="G113" s="133">
        <f t="shared" si="1"/>
        <v>21850920</v>
      </c>
    </row>
    <row r="114" spans="1:7" s="113" customFormat="1" x14ac:dyDescent="0.25">
      <c r="A114" s="37">
        <v>112</v>
      </c>
      <c r="B114" s="47" t="s">
        <v>1538</v>
      </c>
      <c r="C114" s="17"/>
      <c r="D114" s="17" t="s">
        <v>14</v>
      </c>
      <c r="E114" s="97">
        <v>12</v>
      </c>
      <c r="F114" s="97">
        <v>3700</v>
      </c>
      <c r="G114" s="133">
        <f t="shared" si="1"/>
        <v>44400</v>
      </c>
    </row>
    <row r="115" spans="1:7" s="113" customFormat="1" x14ac:dyDescent="0.25">
      <c r="A115" s="37">
        <v>113</v>
      </c>
      <c r="B115" s="47" t="s">
        <v>1529</v>
      </c>
      <c r="C115" s="17"/>
      <c r="D115" s="17" t="s">
        <v>14</v>
      </c>
      <c r="E115" s="97">
        <v>12</v>
      </c>
      <c r="F115" s="97">
        <v>399600</v>
      </c>
      <c r="G115" s="133">
        <f t="shared" si="1"/>
        <v>4795200</v>
      </c>
    </row>
    <row r="116" spans="1:7" s="113" customFormat="1" ht="33.75" x14ac:dyDescent="0.25">
      <c r="A116" s="37">
        <v>114</v>
      </c>
      <c r="B116" s="47" t="s">
        <v>1609</v>
      </c>
      <c r="C116" s="17"/>
      <c r="D116" s="17" t="s">
        <v>14</v>
      </c>
      <c r="E116" s="97">
        <v>8</v>
      </c>
      <c r="F116" s="97">
        <v>83250</v>
      </c>
      <c r="G116" s="133">
        <f t="shared" si="1"/>
        <v>666000</v>
      </c>
    </row>
    <row r="117" spans="1:7" s="113" customFormat="1" ht="33.75" x14ac:dyDescent="0.25">
      <c r="A117" s="37">
        <v>115</v>
      </c>
      <c r="B117" s="47" t="s">
        <v>1609</v>
      </c>
      <c r="C117" s="17"/>
      <c r="D117" s="17" t="s">
        <v>14</v>
      </c>
      <c r="E117" s="97">
        <v>6</v>
      </c>
      <c r="F117" s="97">
        <v>12210</v>
      </c>
      <c r="G117" s="133">
        <f t="shared" si="1"/>
        <v>73260</v>
      </c>
    </row>
    <row r="118" spans="1:7" ht="22.5" x14ac:dyDescent="0.25">
      <c r="A118" s="37">
        <v>116</v>
      </c>
      <c r="B118" s="12" t="s">
        <v>1049</v>
      </c>
      <c r="C118" s="17"/>
      <c r="D118" s="17" t="s">
        <v>14</v>
      </c>
      <c r="E118" s="97">
        <v>50</v>
      </c>
      <c r="F118" s="97">
        <v>9987.6</v>
      </c>
      <c r="G118" s="133">
        <f t="shared" si="1"/>
        <v>499380</v>
      </c>
    </row>
    <row r="119" spans="1:7" x14ac:dyDescent="0.25">
      <c r="A119" s="37">
        <v>117</v>
      </c>
      <c r="B119" s="12" t="s">
        <v>1050</v>
      </c>
      <c r="C119" s="17"/>
      <c r="D119" s="17" t="s">
        <v>1009</v>
      </c>
      <c r="E119" s="97">
        <v>40</v>
      </c>
      <c r="F119" s="97">
        <v>133640.2935</v>
      </c>
      <c r="G119" s="133">
        <f t="shared" si="1"/>
        <v>5345611.74</v>
      </c>
    </row>
    <row r="120" spans="1:7" x14ac:dyDescent="0.25">
      <c r="A120" s="37">
        <v>118</v>
      </c>
      <c r="B120" s="12" t="s">
        <v>1051</v>
      </c>
      <c r="C120" s="17"/>
      <c r="D120" s="17" t="s">
        <v>1009</v>
      </c>
      <c r="E120" s="97">
        <v>208</v>
      </c>
      <c r="F120" s="97">
        <v>133640.2935</v>
      </c>
      <c r="G120" s="133">
        <f t="shared" si="1"/>
        <v>27797181.048</v>
      </c>
    </row>
    <row r="121" spans="1:7" s="113" customFormat="1" x14ac:dyDescent="0.25">
      <c r="A121" s="37">
        <v>119</v>
      </c>
      <c r="B121" s="12" t="s">
        <v>1543</v>
      </c>
      <c r="C121" s="17"/>
      <c r="D121" s="17" t="s">
        <v>14</v>
      </c>
      <c r="E121" s="97">
        <v>12</v>
      </c>
      <c r="F121" s="97">
        <v>78255</v>
      </c>
      <c r="G121" s="133">
        <f t="shared" si="1"/>
        <v>939060</v>
      </c>
    </row>
    <row r="122" spans="1:7" x14ac:dyDescent="0.25">
      <c r="A122" s="37">
        <v>120</v>
      </c>
      <c r="B122" s="12" t="s">
        <v>1052</v>
      </c>
      <c r="C122" s="17"/>
      <c r="D122" s="17" t="s">
        <v>35</v>
      </c>
      <c r="E122" s="97"/>
      <c r="F122" s="97">
        <v>70932.161999999997</v>
      </c>
      <c r="G122" s="133">
        <f t="shared" si="1"/>
        <v>0</v>
      </c>
    </row>
    <row r="123" spans="1:7" x14ac:dyDescent="0.25">
      <c r="A123" s="37">
        <v>121</v>
      </c>
      <c r="B123" s="12" t="s">
        <v>1053</v>
      </c>
      <c r="C123" s="17"/>
      <c r="D123" s="17" t="s">
        <v>1054</v>
      </c>
      <c r="E123" s="97">
        <v>10</v>
      </c>
      <c r="F123" s="97">
        <v>55.65</v>
      </c>
      <c r="G123" s="133">
        <f t="shared" si="1"/>
        <v>556.5</v>
      </c>
    </row>
    <row r="124" spans="1:7" s="113" customFormat="1" x14ac:dyDescent="0.25">
      <c r="A124" s="37">
        <v>122</v>
      </c>
      <c r="B124" s="12" t="s">
        <v>1531</v>
      </c>
      <c r="C124" s="17"/>
      <c r="D124" s="17" t="s">
        <v>14</v>
      </c>
      <c r="E124" s="97">
        <v>6</v>
      </c>
      <c r="F124" s="97">
        <v>165298</v>
      </c>
      <c r="G124" s="133">
        <f t="shared" si="1"/>
        <v>991788</v>
      </c>
    </row>
    <row r="125" spans="1:7" s="113" customFormat="1" x14ac:dyDescent="0.25">
      <c r="A125" s="37">
        <v>123</v>
      </c>
      <c r="B125" s="12" t="s">
        <v>1549</v>
      </c>
      <c r="C125" s="17"/>
      <c r="D125" s="17" t="s">
        <v>14</v>
      </c>
      <c r="E125" s="97">
        <v>48</v>
      </c>
      <c r="F125" s="97">
        <v>71410</v>
      </c>
      <c r="G125" s="133">
        <f t="shared" si="1"/>
        <v>3427680</v>
      </c>
    </row>
    <row r="126" spans="1:7" s="113" customFormat="1" ht="22.5" x14ac:dyDescent="0.25">
      <c r="A126" s="37">
        <v>124</v>
      </c>
      <c r="B126" s="12" t="s">
        <v>1539</v>
      </c>
      <c r="C126" s="17"/>
      <c r="D126" s="17" t="s">
        <v>14</v>
      </c>
      <c r="E126" s="97">
        <v>12</v>
      </c>
      <c r="F126" s="97">
        <v>29045</v>
      </c>
      <c r="G126" s="133">
        <f t="shared" si="1"/>
        <v>348540</v>
      </c>
    </row>
    <row r="127" spans="1:7" s="113" customFormat="1" ht="22.5" x14ac:dyDescent="0.25">
      <c r="A127" s="37">
        <v>125</v>
      </c>
      <c r="B127" s="12" t="s">
        <v>1540</v>
      </c>
      <c r="C127" s="17"/>
      <c r="D127" s="17" t="s">
        <v>14</v>
      </c>
      <c r="E127" s="97">
        <v>12</v>
      </c>
      <c r="F127" s="97">
        <v>46435</v>
      </c>
      <c r="G127" s="133">
        <f t="shared" si="1"/>
        <v>557220</v>
      </c>
    </row>
    <row r="128" spans="1:7" s="113" customFormat="1" x14ac:dyDescent="0.25">
      <c r="A128" s="37">
        <v>126</v>
      </c>
      <c r="B128" s="12" t="s">
        <v>1545</v>
      </c>
      <c r="C128" s="17"/>
      <c r="D128" s="17" t="s">
        <v>14</v>
      </c>
      <c r="E128" s="97">
        <v>24</v>
      </c>
      <c r="F128" s="97">
        <v>95275</v>
      </c>
      <c r="G128" s="133">
        <f t="shared" si="1"/>
        <v>2286600</v>
      </c>
    </row>
    <row r="129" spans="1:7" s="113" customFormat="1" x14ac:dyDescent="0.25">
      <c r="A129" s="37">
        <v>127</v>
      </c>
      <c r="B129" s="12" t="s">
        <v>1541</v>
      </c>
      <c r="C129" s="17"/>
      <c r="D129" s="17" t="s">
        <v>14</v>
      </c>
      <c r="E129" s="97">
        <v>6</v>
      </c>
      <c r="F129" s="97">
        <v>46435</v>
      </c>
      <c r="G129" s="133">
        <f t="shared" si="1"/>
        <v>278610</v>
      </c>
    </row>
    <row r="130" spans="1:7" s="113" customFormat="1" x14ac:dyDescent="0.25">
      <c r="A130" s="37">
        <v>128</v>
      </c>
      <c r="B130" s="12" t="s">
        <v>1544</v>
      </c>
      <c r="C130" s="17"/>
      <c r="D130" s="17" t="s">
        <v>14</v>
      </c>
      <c r="E130" s="97">
        <v>36</v>
      </c>
      <c r="F130" s="97">
        <v>76405</v>
      </c>
      <c r="G130" s="133">
        <f t="shared" si="1"/>
        <v>2750580</v>
      </c>
    </row>
    <row r="131" spans="1:7" s="113" customFormat="1" x14ac:dyDescent="0.25">
      <c r="A131" s="37">
        <v>129</v>
      </c>
      <c r="B131" s="12" t="s">
        <v>1547</v>
      </c>
      <c r="C131" s="17"/>
      <c r="D131" s="17" t="s">
        <v>14</v>
      </c>
      <c r="E131" s="97">
        <v>24</v>
      </c>
      <c r="F131" s="97">
        <v>154290</v>
      </c>
      <c r="G131" s="133">
        <f t="shared" si="1"/>
        <v>3702960</v>
      </c>
    </row>
    <row r="132" spans="1:7" s="113" customFormat="1" x14ac:dyDescent="0.25">
      <c r="A132" s="37">
        <v>130</v>
      </c>
      <c r="B132" s="12" t="s">
        <v>1542</v>
      </c>
      <c r="C132" s="17"/>
      <c r="D132" s="17" t="s">
        <v>14</v>
      </c>
      <c r="E132" s="97">
        <v>36</v>
      </c>
      <c r="F132" s="97">
        <v>118770</v>
      </c>
      <c r="G132" s="133">
        <f t="shared" si="1"/>
        <v>4275720</v>
      </c>
    </row>
    <row r="133" spans="1:7" x14ac:dyDescent="0.25">
      <c r="A133" s="37">
        <v>131</v>
      </c>
      <c r="B133" s="12" t="s">
        <v>1055</v>
      </c>
      <c r="C133" s="17" t="s">
        <v>1056</v>
      </c>
      <c r="D133" s="17" t="s">
        <v>1057</v>
      </c>
      <c r="E133" s="97">
        <v>150</v>
      </c>
      <c r="F133" s="97">
        <v>207060</v>
      </c>
      <c r="G133" s="133">
        <f t="shared" si="1"/>
        <v>31059000</v>
      </c>
    </row>
    <row r="134" spans="1:7" x14ac:dyDescent="0.25">
      <c r="A134" s="37">
        <v>132</v>
      </c>
      <c r="B134" s="12" t="s">
        <v>1058</v>
      </c>
      <c r="C134" s="17" t="s">
        <v>1056</v>
      </c>
      <c r="D134" s="17" t="s">
        <v>1057</v>
      </c>
      <c r="E134" s="97">
        <v>240</v>
      </c>
      <c r="F134" s="97">
        <v>274050</v>
      </c>
      <c r="G134" s="133">
        <f t="shared" si="1"/>
        <v>65772000</v>
      </c>
    </row>
    <row r="135" spans="1:7" x14ac:dyDescent="0.25">
      <c r="A135" s="37">
        <v>133</v>
      </c>
      <c r="B135" s="12" t="s">
        <v>1059</v>
      </c>
      <c r="C135" s="17" t="s">
        <v>1056</v>
      </c>
      <c r="D135" s="17" t="s">
        <v>1057</v>
      </c>
      <c r="E135" s="97">
        <v>150</v>
      </c>
      <c r="F135" s="97">
        <v>328860</v>
      </c>
      <c r="G135" s="133">
        <f t="shared" si="1"/>
        <v>49329000</v>
      </c>
    </row>
    <row r="136" spans="1:7" x14ac:dyDescent="0.25">
      <c r="A136" s="37">
        <v>134</v>
      </c>
      <c r="B136" s="12" t="s">
        <v>1060</v>
      </c>
      <c r="C136" s="17" t="s">
        <v>1056</v>
      </c>
      <c r="D136" s="17" t="s">
        <v>1057</v>
      </c>
      <c r="E136" s="97">
        <v>150</v>
      </c>
      <c r="F136" s="97">
        <v>401940</v>
      </c>
      <c r="G136" s="133">
        <f t="shared" si="1"/>
        <v>60291000</v>
      </c>
    </row>
    <row r="137" spans="1:7" x14ac:dyDescent="0.25">
      <c r="A137" s="37">
        <v>135</v>
      </c>
      <c r="B137" s="12" t="s">
        <v>1061</v>
      </c>
      <c r="C137" s="17" t="s">
        <v>1056</v>
      </c>
      <c r="D137" s="17" t="s">
        <v>1057</v>
      </c>
      <c r="E137" s="97">
        <v>160</v>
      </c>
      <c r="F137" s="97">
        <v>133980</v>
      </c>
      <c r="G137" s="133">
        <f t="shared" si="1"/>
        <v>21436800</v>
      </c>
    </row>
    <row r="138" spans="1:7" s="113" customFormat="1" x14ac:dyDescent="0.25">
      <c r="A138" s="37">
        <v>136</v>
      </c>
      <c r="B138" s="12" t="s">
        <v>1546</v>
      </c>
      <c r="C138" s="17"/>
      <c r="D138" s="17" t="s">
        <v>14</v>
      </c>
      <c r="E138" s="97">
        <v>18</v>
      </c>
      <c r="F138" s="97">
        <v>121453</v>
      </c>
      <c r="G138" s="133">
        <f t="shared" si="1"/>
        <v>2186154</v>
      </c>
    </row>
    <row r="139" spans="1:7" s="113" customFormat="1" x14ac:dyDescent="0.25">
      <c r="A139" s="37">
        <v>137</v>
      </c>
      <c r="B139" s="12" t="s">
        <v>1530</v>
      </c>
      <c r="C139" s="17"/>
      <c r="D139" s="17" t="s">
        <v>14</v>
      </c>
      <c r="E139" s="97">
        <v>12</v>
      </c>
      <c r="F139" s="97">
        <v>429200</v>
      </c>
      <c r="G139" s="133">
        <f t="shared" si="1"/>
        <v>5150400</v>
      </c>
    </row>
    <row r="140" spans="1:7" s="113" customFormat="1" x14ac:dyDescent="0.25">
      <c r="A140" s="37">
        <v>138</v>
      </c>
      <c r="B140" s="12" t="s">
        <v>1537</v>
      </c>
      <c r="C140" s="17"/>
      <c r="D140" s="17" t="s">
        <v>14</v>
      </c>
      <c r="E140" s="97">
        <v>6</v>
      </c>
      <c r="F140" s="97">
        <v>18315</v>
      </c>
      <c r="G140" s="133">
        <f t="shared" si="1"/>
        <v>109890</v>
      </c>
    </row>
    <row r="141" spans="1:7" x14ac:dyDescent="0.25">
      <c r="A141" s="37">
        <v>139</v>
      </c>
      <c r="B141" s="12" t="s">
        <v>1062</v>
      </c>
      <c r="C141" s="17" t="s">
        <v>1063</v>
      </c>
      <c r="D141" s="17" t="s">
        <v>1064</v>
      </c>
      <c r="E141" s="97">
        <v>100</v>
      </c>
      <c r="F141" s="97">
        <v>299438.55900000001</v>
      </c>
      <c r="G141" s="133">
        <f t="shared" si="1"/>
        <v>29943855.900000002</v>
      </c>
    </row>
    <row r="142" spans="1:7" s="113" customFormat="1" ht="22.5" x14ac:dyDescent="0.25">
      <c r="A142" s="37">
        <v>140</v>
      </c>
      <c r="B142" s="12" t="s">
        <v>1532</v>
      </c>
      <c r="C142" s="17"/>
      <c r="D142" s="17" t="s">
        <v>14</v>
      </c>
      <c r="E142" s="97">
        <v>24</v>
      </c>
      <c r="F142" s="97">
        <v>168360</v>
      </c>
      <c r="G142" s="133">
        <f t="shared" si="1"/>
        <v>4040640</v>
      </c>
    </row>
    <row r="143" spans="1:7" x14ac:dyDescent="0.25">
      <c r="A143" s="37">
        <v>141</v>
      </c>
      <c r="B143" s="12" t="s">
        <v>1065</v>
      </c>
      <c r="C143" s="17" t="s">
        <v>1066</v>
      </c>
      <c r="D143" s="17" t="s">
        <v>14</v>
      </c>
      <c r="E143" s="97">
        <v>704</v>
      </c>
      <c r="F143" s="97">
        <v>7717.5</v>
      </c>
      <c r="G143" s="133">
        <f t="shared" si="1"/>
        <v>5433120</v>
      </c>
    </row>
    <row r="144" spans="1:7" x14ac:dyDescent="0.25">
      <c r="A144" s="37">
        <v>142</v>
      </c>
      <c r="B144" s="12" t="s">
        <v>1067</v>
      </c>
      <c r="C144" s="17" t="s">
        <v>1066</v>
      </c>
      <c r="D144" s="17" t="s">
        <v>14</v>
      </c>
      <c r="E144" s="97">
        <v>700</v>
      </c>
      <c r="F144" s="97">
        <v>8599.5</v>
      </c>
      <c r="G144" s="133">
        <f t="shared" si="1"/>
        <v>6019650</v>
      </c>
    </row>
    <row r="145" spans="1:7" x14ac:dyDescent="0.25">
      <c r="A145" s="37">
        <v>143</v>
      </c>
      <c r="B145" s="12" t="s">
        <v>1068</v>
      </c>
      <c r="C145" s="17" t="s">
        <v>1066</v>
      </c>
      <c r="D145" s="17" t="s">
        <v>14</v>
      </c>
      <c r="E145" s="97">
        <v>860</v>
      </c>
      <c r="F145" s="97">
        <v>8030.4</v>
      </c>
      <c r="G145" s="133">
        <f t="shared" si="1"/>
        <v>6906144</v>
      </c>
    </row>
    <row r="146" spans="1:7" x14ac:dyDescent="0.25">
      <c r="A146" s="37">
        <v>144</v>
      </c>
      <c r="B146" s="12" t="s">
        <v>1069</v>
      </c>
      <c r="C146" s="17" t="s">
        <v>1066</v>
      </c>
      <c r="D146" s="17" t="s">
        <v>14</v>
      </c>
      <c r="E146" s="97">
        <v>700</v>
      </c>
      <c r="F146" s="97">
        <v>4363.8</v>
      </c>
      <c r="G146" s="133">
        <f t="shared" si="1"/>
        <v>3054660</v>
      </c>
    </row>
    <row r="147" spans="1:7" x14ac:dyDescent="0.25">
      <c r="A147" s="37">
        <v>145</v>
      </c>
      <c r="B147" s="12" t="s">
        <v>1070</v>
      </c>
      <c r="C147" s="17" t="s">
        <v>1066</v>
      </c>
      <c r="D147" s="17" t="s">
        <v>14</v>
      </c>
      <c r="E147" s="97">
        <v>460</v>
      </c>
      <c r="F147" s="97">
        <v>7993.65</v>
      </c>
      <c r="G147" s="133">
        <f t="shared" si="1"/>
        <v>3677079</v>
      </c>
    </row>
    <row r="148" spans="1:7" s="113" customFormat="1" x14ac:dyDescent="0.25">
      <c r="A148" s="37">
        <v>146</v>
      </c>
      <c r="B148" s="12" t="s">
        <v>1521</v>
      </c>
      <c r="C148" s="17"/>
      <c r="D148" s="17" t="s">
        <v>14</v>
      </c>
      <c r="E148" s="97">
        <v>12</v>
      </c>
      <c r="F148" s="97">
        <v>222000</v>
      </c>
      <c r="G148" s="133">
        <f t="shared" si="1"/>
        <v>2664000</v>
      </c>
    </row>
    <row r="149" spans="1:7" s="113" customFormat="1" x14ac:dyDescent="0.25">
      <c r="A149" s="37">
        <v>147</v>
      </c>
      <c r="B149" s="12" t="s">
        <v>1522</v>
      </c>
      <c r="C149" s="17"/>
      <c r="D149" s="17" t="s">
        <v>14</v>
      </c>
      <c r="E149" s="97">
        <v>24</v>
      </c>
      <c r="F149" s="97">
        <v>153550</v>
      </c>
      <c r="G149" s="133">
        <f t="shared" si="1"/>
        <v>3685200</v>
      </c>
    </row>
    <row r="150" spans="1:7" s="113" customFormat="1" x14ac:dyDescent="0.25">
      <c r="A150" s="37">
        <v>148</v>
      </c>
      <c r="B150" s="12" t="s">
        <v>1548</v>
      </c>
      <c r="C150" s="17"/>
      <c r="D150" s="17" t="s">
        <v>14</v>
      </c>
      <c r="E150" s="97">
        <v>12</v>
      </c>
      <c r="F150" s="97">
        <v>70485</v>
      </c>
      <c r="G150" s="133">
        <f t="shared" si="1"/>
        <v>845820</v>
      </c>
    </row>
    <row r="151" spans="1:7" s="113" customFormat="1" x14ac:dyDescent="0.25">
      <c r="A151" s="37">
        <v>149</v>
      </c>
      <c r="B151" s="12" t="s">
        <v>1523</v>
      </c>
      <c r="C151" s="17"/>
      <c r="D151" s="17" t="s">
        <v>14</v>
      </c>
      <c r="E151" s="97">
        <v>12</v>
      </c>
      <c r="F151" s="97">
        <v>140600</v>
      </c>
      <c r="G151" s="133">
        <f t="shared" si="1"/>
        <v>1687200</v>
      </c>
    </row>
    <row r="152" spans="1:7" s="113" customFormat="1" x14ac:dyDescent="0.25">
      <c r="A152" s="37">
        <v>150</v>
      </c>
      <c r="B152" s="12" t="s">
        <v>1524</v>
      </c>
      <c r="C152" s="17"/>
      <c r="D152" s="17" t="s">
        <v>14</v>
      </c>
      <c r="E152" s="97">
        <v>6</v>
      </c>
      <c r="F152" s="97">
        <v>228105</v>
      </c>
      <c r="G152" s="133">
        <f t="shared" si="1"/>
        <v>1368630</v>
      </c>
    </row>
    <row r="153" spans="1:7" s="113" customFormat="1" x14ac:dyDescent="0.25">
      <c r="A153" s="37">
        <v>151</v>
      </c>
      <c r="B153" s="12" t="s">
        <v>1551</v>
      </c>
      <c r="C153" s="17"/>
      <c r="D153" s="17" t="s">
        <v>14</v>
      </c>
      <c r="E153" s="97">
        <v>12</v>
      </c>
      <c r="F153" s="97">
        <v>91205</v>
      </c>
      <c r="G153" s="133">
        <f t="shared" si="1"/>
        <v>1094460</v>
      </c>
    </row>
    <row r="154" spans="1:7" s="113" customFormat="1" x14ac:dyDescent="0.25">
      <c r="A154" s="37">
        <v>152</v>
      </c>
      <c r="B154" s="12" t="s">
        <v>1550</v>
      </c>
      <c r="C154" s="17"/>
      <c r="D154" s="17" t="s">
        <v>14</v>
      </c>
      <c r="E154" s="97">
        <v>12</v>
      </c>
      <c r="F154" s="97">
        <v>64750</v>
      </c>
      <c r="G154" s="133">
        <f t="shared" si="1"/>
        <v>777000</v>
      </c>
    </row>
    <row r="155" spans="1:7" s="113" customFormat="1" x14ac:dyDescent="0.25">
      <c r="A155" s="37">
        <v>153</v>
      </c>
      <c r="B155" s="12" t="s">
        <v>1525</v>
      </c>
      <c r="C155" s="17"/>
      <c r="D155" s="17" t="s">
        <v>14</v>
      </c>
      <c r="E155" s="97">
        <v>24</v>
      </c>
      <c r="F155" s="97">
        <v>125430</v>
      </c>
      <c r="G155" s="133">
        <f t="shared" si="1"/>
        <v>3010320</v>
      </c>
    </row>
    <row r="156" spans="1:7" s="113" customFormat="1" x14ac:dyDescent="0.25">
      <c r="A156" s="37">
        <v>154</v>
      </c>
      <c r="B156" s="12" t="s">
        <v>1526</v>
      </c>
      <c r="C156" s="17"/>
      <c r="D156" s="17" t="s">
        <v>14</v>
      </c>
      <c r="E156" s="97">
        <v>12</v>
      </c>
      <c r="F156" s="97">
        <v>87505</v>
      </c>
      <c r="G156" s="133">
        <f t="shared" si="1"/>
        <v>1050060</v>
      </c>
    </row>
    <row r="157" spans="1:7" x14ac:dyDescent="0.25">
      <c r="A157" s="37">
        <v>155</v>
      </c>
      <c r="B157" s="12" t="s">
        <v>1071</v>
      </c>
      <c r="C157" s="17"/>
      <c r="D157" s="17" t="s">
        <v>6</v>
      </c>
      <c r="E157" s="97">
        <v>50000</v>
      </c>
      <c r="F157" s="97">
        <v>1638</v>
      </c>
      <c r="G157" s="133">
        <f t="shared" si="1"/>
        <v>81900000</v>
      </c>
    </row>
    <row r="158" spans="1:7" ht="22.5" x14ac:dyDescent="0.25">
      <c r="A158" s="37">
        <v>156</v>
      </c>
      <c r="B158" s="12" t="s">
        <v>1072</v>
      </c>
      <c r="C158" s="17"/>
      <c r="D158" s="17" t="s">
        <v>6</v>
      </c>
      <c r="E158" s="97">
        <v>50000</v>
      </c>
      <c r="F158" s="97">
        <v>2184</v>
      </c>
      <c r="G158" s="133">
        <f t="shared" si="1"/>
        <v>109200000</v>
      </c>
    </row>
    <row r="159" spans="1:7" ht="22.5" x14ac:dyDescent="0.25">
      <c r="A159" s="37">
        <v>157</v>
      </c>
      <c r="B159" s="12" t="s">
        <v>1073</v>
      </c>
      <c r="C159" s="17" t="s">
        <v>1074</v>
      </c>
      <c r="D159" s="17" t="s">
        <v>6</v>
      </c>
      <c r="E159" s="97">
        <v>20000</v>
      </c>
      <c r="F159" s="97">
        <v>2825.55</v>
      </c>
      <c r="G159" s="133">
        <f t="shared" si="1"/>
        <v>56511000</v>
      </c>
    </row>
    <row r="160" spans="1:7" x14ac:dyDescent="0.25">
      <c r="A160" s="37">
        <v>158</v>
      </c>
      <c r="B160" s="12" t="s">
        <v>1075</v>
      </c>
      <c r="C160" s="17" t="s">
        <v>1074</v>
      </c>
      <c r="D160" s="17" t="s">
        <v>6</v>
      </c>
      <c r="E160" s="97">
        <v>16000</v>
      </c>
      <c r="F160" s="97">
        <v>2677.5</v>
      </c>
      <c r="G160" s="133">
        <f t="shared" si="1"/>
        <v>42840000</v>
      </c>
    </row>
    <row r="161" spans="1:7" x14ac:dyDescent="0.25">
      <c r="A161" s="37">
        <v>159</v>
      </c>
      <c r="B161" s="12" t="s">
        <v>1076</v>
      </c>
      <c r="C161" s="17" t="s">
        <v>1074</v>
      </c>
      <c r="D161" s="17" t="s">
        <v>6</v>
      </c>
      <c r="E161" s="97">
        <v>400</v>
      </c>
      <c r="F161" s="97">
        <v>9798.9149999999991</v>
      </c>
      <c r="G161" s="133">
        <f t="shared" si="1"/>
        <v>3919565.9999999995</v>
      </c>
    </row>
    <row r="162" spans="1:7" x14ac:dyDescent="0.25">
      <c r="A162" s="37">
        <v>160</v>
      </c>
      <c r="B162" s="12" t="s">
        <v>1077</v>
      </c>
      <c r="C162" s="17" t="s">
        <v>1074</v>
      </c>
      <c r="D162" s="17" t="s">
        <v>968</v>
      </c>
      <c r="E162" s="97">
        <v>400</v>
      </c>
      <c r="F162" s="97">
        <v>9798.9149999999991</v>
      </c>
      <c r="G162" s="133">
        <f t="shared" si="1"/>
        <v>3919565.9999999995</v>
      </c>
    </row>
    <row r="163" spans="1:7" x14ac:dyDescent="0.25">
      <c r="A163" s="37">
        <v>161</v>
      </c>
      <c r="B163" s="12" t="s">
        <v>1078</v>
      </c>
      <c r="C163" s="17" t="s">
        <v>1074</v>
      </c>
      <c r="D163" s="17" t="s">
        <v>968</v>
      </c>
      <c r="E163" s="97">
        <v>100</v>
      </c>
      <c r="F163" s="97">
        <v>9798.9149999999991</v>
      </c>
      <c r="G163" s="133">
        <f t="shared" si="1"/>
        <v>979891.49999999988</v>
      </c>
    </row>
    <row r="164" spans="1:7" x14ac:dyDescent="0.25">
      <c r="A164" s="37">
        <v>162</v>
      </c>
      <c r="B164" s="12" t="s">
        <v>1079</v>
      </c>
      <c r="C164" s="17" t="s">
        <v>1074</v>
      </c>
      <c r="D164" s="17" t="s">
        <v>968</v>
      </c>
      <c r="E164" s="97">
        <v>100</v>
      </c>
      <c r="F164" s="97">
        <v>9798.9149999999991</v>
      </c>
      <c r="G164" s="133">
        <f t="shared" si="1"/>
        <v>979891.49999999988</v>
      </c>
    </row>
    <row r="165" spans="1:7" x14ac:dyDescent="0.25">
      <c r="A165" s="37">
        <v>163</v>
      </c>
      <c r="B165" s="12" t="s">
        <v>1080</v>
      </c>
      <c r="C165" s="17" t="s">
        <v>1074</v>
      </c>
      <c r="D165" s="17" t="s">
        <v>6</v>
      </c>
      <c r="E165" s="97">
        <v>1500</v>
      </c>
      <c r="F165" s="97">
        <v>9798.9149999999991</v>
      </c>
      <c r="G165" s="133">
        <f t="shared" si="1"/>
        <v>14698372.499999998</v>
      </c>
    </row>
    <row r="166" spans="1:7" x14ac:dyDescent="0.25">
      <c r="A166" s="37">
        <v>164</v>
      </c>
      <c r="B166" s="12" t="s">
        <v>1081</v>
      </c>
      <c r="C166" s="17" t="s">
        <v>1074</v>
      </c>
      <c r="D166" s="17" t="s">
        <v>6</v>
      </c>
      <c r="E166" s="97">
        <v>2200</v>
      </c>
      <c r="F166" s="97">
        <v>1874.25</v>
      </c>
      <c r="G166" s="133">
        <f t="shared" si="1"/>
        <v>4123350</v>
      </c>
    </row>
    <row r="167" spans="1:7" x14ac:dyDescent="0.25">
      <c r="A167" s="37">
        <v>165</v>
      </c>
      <c r="B167" s="12" t="s">
        <v>1082</v>
      </c>
      <c r="C167" s="17" t="s">
        <v>970</v>
      </c>
      <c r="D167" s="17" t="s">
        <v>6</v>
      </c>
      <c r="E167" s="97">
        <v>500</v>
      </c>
      <c r="F167" s="97">
        <v>9798.9149999999991</v>
      </c>
      <c r="G167" s="133">
        <f t="shared" si="1"/>
        <v>4899457.4999999991</v>
      </c>
    </row>
    <row r="168" spans="1:7" x14ac:dyDescent="0.25">
      <c r="A168" s="37">
        <v>166</v>
      </c>
      <c r="B168" s="12" t="s">
        <v>1083</v>
      </c>
      <c r="C168" s="17" t="s">
        <v>970</v>
      </c>
      <c r="D168" s="17" t="s">
        <v>6</v>
      </c>
      <c r="E168" s="97">
        <v>500</v>
      </c>
      <c r="F168" s="97">
        <v>9798.9149999999991</v>
      </c>
      <c r="G168" s="133">
        <f t="shared" si="1"/>
        <v>4899457.4999999991</v>
      </c>
    </row>
    <row r="169" spans="1:7" x14ac:dyDescent="0.25">
      <c r="A169" s="37">
        <v>167</v>
      </c>
      <c r="B169" s="12" t="s">
        <v>1084</v>
      </c>
      <c r="C169" s="17" t="s">
        <v>970</v>
      </c>
      <c r="D169" s="17" t="s">
        <v>6</v>
      </c>
      <c r="E169" s="97">
        <v>100</v>
      </c>
      <c r="F169" s="97">
        <v>9798.9149999999991</v>
      </c>
      <c r="G169" s="133">
        <f t="shared" si="1"/>
        <v>979891.49999999988</v>
      </c>
    </row>
    <row r="170" spans="1:7" x14ac:dyDescent="0.25">
      <c r="A170" s="37">
        <v>168</v>
      </c>
      <c r="B170" s="12" t="s">
        <v>1085</v>
      </c>
      <c r="C170" s="17" t="s">
        <v>970</v>
      </c>
      <c r="D170" s="17" t="s">
        <v>6</v>
      </c>
      <c r="E170" s="97">
        <v>100</v>
      </c>
      <c r="F170" s="97">
        <v>9798.9149999999991</v>
      </c>
      <c r="G170" s="133">
        <f t="shared" si="1"/>
        <v>979891.49999999988</v>
      </c>
    </row>
    <row r="171" spans="1:7" x14ac:dyDescent="0.25">
      <c r="A171" s="37">
        <v>169</v>
      </c>
      <c r="B171" s="12" t="s">
        <v>1086</v>
      </c>
      <c r="C171" s="17" t="s">
        <v>970</v>
      </c>
      <c r="D171" s="17" t="s">
        <v>6</v>
      </c>
      <c r="E171" s="97">
        <v>100</v>
      </c>
      <c r="F171" s="97">
        <v>9798.9149999999991</v>
      </c>
      <c r="G171" s="133">
        <f t="shared" si="1"/>
        <v>979891.49999999988</v>
      </c>
    </row>
    <row r="172" spans="1:7" x14ac:dyDescent="0.25">
      <c r="A172" s="37">
        <v>170</v>
      </c>
      <c r="B172" s="12" t="s">
        <v>1087</v>
      </c>
      <c r="C172" s="17" t="s">
        <v>970</v>
      </c>
      <c r="D172" s="17" t="s">
        <v>6</v>
      </c>
      <c r="E172" s="97">
        <v>100</v>
      </c>
      <c r="F172" s="97">
        <v>9798.9149999999991</v>
      </c>
      <c r="G172" s="133">
        <f t="shared" si="1"/>
        <v>979891.49999999988</v>
      </c>
    </row>
    <row r="173" spans="1:7" x14ac:dyDescent="0.25">
      <c r="A173" s="37">
        <v>171</v>
      </c>
      <c r="B173" s="12" t="s">
        <v>1088</v>
      </c>
      <c r="C173" s="17" t="s">
        <v>970</v>
      </c>
      <c r="D173" s="17" t="s">
        <v>6</v>
      </c>
      <c r="E173" s="97">
        <v>100</v>
      </c>
      <c r="F173" s="97">
        <v>9798.9149999999991</v>
      </c>
      <c r="G173" s="133">
        <f t="shared" si="1"/>
        <v>979891.49999999988</v>
      </c>
    </row>
    <row r="174" spans="1:7" x14ac:dyDescent="0.25">
      <c r="A174" s="37">
        <v>172</v>
      </c>
      <c r="B174" s="12" t="s">
        <v>1089</v>
      </c>
      <c r="C174" s="17" t="s">
        <v>970</v>
      </c>
      <c r="D174" s="17" t="s">
        <v>6</v>
      </c>
      <c r="E174" s="97">
        <v>3000</v>
      </c>
      <c r="F174" s="97">
        <v>9798.9149999999991</v>
      </c>
      <c r="G174" s="133">
        <f t="shared" si="1"/>
        <v>29396744.999999996</v>
      </c>
    </row>
    <row r="175" spans="1:7" x14ac:dyDescent="0.25">
      <c r="A175" s="37">
        <v>173</v>
      </c>
      <c r="B175" s="12" t="s">
        <v>1090</v>
      </c>
      <c r="C175" s="17" t="s">
        <v>970</v>
      </c>
      <c r="D175" s="17" t="s">
        <v>6</v>
      </c>
      <c r="E175" s="97">
        <v>940</v>
      </c>
      <c r="F175" s="97">
        <v>937.65</v>
      </c>
      <c r="G175" s="133">
        <f t="shared" si="1"/>
        <v>881391</v>
      </c>
    </row>
    <row r="176" spans="1:7" x14ac:dyDescent="0.25">
      <c r="A176" s="37">
        <v>174</v>
      </c>
      <c r="B176" s="12" t="s">
        <v>1091</v>
      </c>
      <c r="C176" s="17" t="s">
        <v>970</v>
      </c>
      <c r="D176" s="17" t="s">
        <v>6</v>
      </c>
      <c r="E176" s="97">
        <v>640</v>
      </c>
      <c r="F176" s="97">
        <v>600.6</v>
      </c>
      <c r="G176" s="133">
        <f t="shared" si="1"/>
        <v>384384</v>
      </c>
    </row>
    <row r="177" spans="1:7" x14ac:dyDescent="0.25">
      <c r="A177" s="37">
        <v>175</v>
      </c>
      <c r="B177" s="12" t="s">
        <v>1092</v>
      </c>
      <c r="C177" s="17" t="s">
        <v>970</v>
      </c>
      <c r="D177" s="17" t="s">
        <v>6</v>
      </c>
      <c r="E177" s="97">
        <v>660</v>
      </c>
      <c r="F177" s="97">
        <v>882</v>
      </c>
      <c r="G177" s="133">
        <f t="shared" si="1"/>
        <v>582120</v>
      </c>
    </row>
    <row r="178" spans="1:7" x14ac:dyDescent="0.25">
      <c r="A178" s="37">
        <v>176</v>
      </c>
      <c r="B178" s="12" t="s">
        <v>1093</v>
      </c>
      <c r="C178" s="17" t="s">
        <v>970</v>
      </c>
      <c r="D178" s="17" t="s">
        <v>6</v>
      </c>
      <c r="E178" s="97">
        <v>500</v>
      </c>
      <c r="F178" s="97">
        <v>882</v>
      </c>
      <c r="G178" s="133">
        <f t="shared" ref="G178:G209" si="2">+F178*E178</f>
        <v>441000</v>
      </c>
    </row>
    <row r="179" spans="1:7" x14ac:dyDescent="0.25">
      <c r="A179" s="37">
        <v>177</v>
      </c>
      <c r="B179" s="12" t="s">
        <v>1094</v>
      </c>
      <c r="C179" s="17" t="s">
        <v>970</v>
      </c>
      <c r="D179" s="17" t="s">
        <v>6</v>
      </c>
      <c r="E179" s="97">
        <v>100</v>
      </c>
      <c r="F179" s="97">
        <v>1067.8499999999999</v>
      </c>
      <c r="G179" s="133">
        <f t="shared" si="2"/>
        <v>106784.99999999999</v>
      </c>
    </row>
    <row r="180" spans="1:7" x14ac:dyDescent="0.25">
      <c r="A180" s="37">
        <v>178</v>
      </c>
      <c r="B180" s="12" t="s">
        <v>1095</v>
      </c>
      <c r="C180" s="17" t="s">
        <v>970</v>
      </c>
      <c r="D180" s="17" t="s">
        <v>6</v>
      </c>
      <c r="E180" s="97">
        <v>100</v>
      </c>
      <c r="F180" s="97">
        <v>9798.9149999999991</v>
      </c>
      <c r="G180" s="133">
        <f t="shared" si="2"/>
        <v>979891.49999999988</v>
      </c>
    </row>
    <row r="181" spans="1:7" x14ac:dyDescent="0.25">
      <c r="A181" s="37">
        <v>179</v>
      </c>
      <c r="B181" s="12" t="s">
        <v>1096</v>
      </c>
      <c r="C181" s="17"/>
      <c r="D181" s="17" t="s">
        <v>1097</v>
      </c>
      <c r="E181" s="97">
        <v>8300</v>
      </c>
      <c r="F181" s="97">
        <v>6652.8</v>
      </c>
      <c r="G181" s="133">
        <f t="shared" si="2"/>
        <v>55218240</v>
      </c>
    </row>
    <row r="182" spans="1:7" x14ac:dyDescent="0.25">
      <c r="A182" s="37">
        <v>180</v>
      </c>
      <c r="B182" s="12" t="s">
        <v>1098</v>
      </c>
      <c r="C182" s="17"/>
      <c r="D182" s="17" t="s">
        <v>6</v>
      </c>
      <c r="E182" s="97">
        <v>4000</v>
      </c>
      <c r="F182" s="97">
        <v>3610.3409999999999</v>
      </c>
      <c r="G182" s="133">
        <f t="shared" si="2"/>
        <v>14441364</v>
      </c>
    </row>
    <row r="183" spans="1:7" s="113" customFormat="1" x14ac:dyDescent="0.25">
      <c r="A183" s="37">
        <v>181</v>
      </c>
      <c r="B183" s="12" t="s">
        <v>1555</v>
      </c>
      <c r="C183" s="17"/>
      <c r="D183" s="17" t="s">
        <v>14</v>
      </c>
      <c r="E183" s="97">
        <v>12</v>
      </c>
      <c r="F183" s="97">
        <v>14800</v>
      </c>
      <c r="G183" s="133">
        <f t="shared" si="2"/>
        <v>177600</v>
      </c>
    </row>
    <row r="184" spans="1:7" s="113" customFormat="1" x14ac:dyDescent="0.25">
      <c r="A184" s="37">
        <v>182</v>
      </c>
      <c r="B184" s="12" t="s">
        <v>1552</v>
      </c>
      <c r="C184" s="17"/>
      <c r="D184" s="17" t="s">
        <v>14</v>
      </c>
      <c r="E184" s="97">
        <v>12</v>
      </c>
      <c r="F184" s="97">
        <v>63825</v>
      </c>
      <c r="G184" s="133">
        <f t="shared" si="2"/>
        <v>765900</v>
      </c>
    </row>
    <row r="185" spans="1:7" s="113" customFormat="1" x14ac:dyDescent="0.25">
      <c r="A185" s="37">
        <v>183</v>
      </c>
      <c r="B185" s="12" t="s">
        <v>1553</v>
      </c>
      <c r="C185" s="17"/>
      <c r="D185" s="17" t="s">
        <v>14</v>
      </c>
      <c r="E185" s="97">
        <v>12</v>
      </c>
      <c r="F185" s="97">
        <v>105265</v>
      </c>
      <c r="G185" s="133">
        <f t="shared" si="2"/>
        <v>1263180</v>
      </c>
    </row>
    <row r="186" spans="1:7" x14ac:dyDescent="0.25">
      <c r="A186" s="37">
        <v>184</v>
      </c>
      <c r="B186" s="12" t="s">
        <v>1099</v>
      </c>
      <c r="C186" s="17"/>
      <c r="D186" s="17" t="s">
        <v>1097</v>
      </c>
      <c r="E186" s="97">
        <v>360</v>
      </c>
      <c r="F186" s="97">
        <v>106391.25</v>
      </c>
      <c r="G186" s="133">
        <f t="shared" si="2"/>
        <v>38300850</v>
      </c>
    </row>
    <row r="187" spans="1:7" ht="22.5" x14ac:dyDescent="0.25">
      <c r="A187" s="37">
        <v>185</v>
      </c>
      <c r="B187" s="12" t="s">
        <v>1100</v>
      </c>
      <c r="C187" s="17" t="s">
        <v>1101</v>
      </c>
      <c r="D187" s="17" t="s">
        <v>6</v>
      </c>
      <c r="E187" s="97"/>
      <c r="F187" s="97">
        <v>13117.314</v>
      </c>
      <c r="G187" s="133">
        <f t="shared" si="2"/>
        <v>0</v>
      </c>
    </row>
    <row r="188" spans="1:7" x14ac:dyDescent="0.25">
      <c r="A188" s="37">
        <v>186</v>
      </c>
      <c r="B188" s="12" t="s">
        <v>1102</v>
      </c>
      <c r="C188" s="17" t="s">
        <v>1101</v>
      </c>
      <c r="D188" s="17" t="s">
        <v>6</v>
      </c>
      <c r="E188" s="97"/>
      <c r="F188" s="97">
        <v>13117.314</v>
      </c>
      <c r="G188" s="133">
        <f t="shared" si="2"/>
        <v>0</v>
      </c>
    </row>
    <row r="189" spans="1:7" ht="22.5" x14ac:dyDescent="0.25">
      <c r="A189" s="37">
        <v>187</v>
      </c>
      <c r="B189" s="12" t="s">
        <v>1103</v>
      </c>
      <c r="C189" s="17"/>
      <c r="D189" s="17" t="s">
        <v>6</v>
      </c>
      <c r="E189" s="97"/>
      <c r="F189" s="97">
        <v>72217.162500000006</v>
      </c>
      <c r="G189" s="133">
        <f t="shared" si="2"/>
        <v>0</v>
      </c>
    </row>
    <row r="190" spans="1:7" x14ac:dyDescent="0.25">
      <c r="A190" s="37">
        <v>188</v>
      </c>
      <c r="B190" s="12" t="s">
        <v>1104</v>
      </c>
      <c r="C190" s="17" t="s">
        <v>970</v>
      </c>
      <c r="D190" s="17" t="s">
        <v>6</v>
      </c>
      <c r="E190" s="97"/>
      <c r="F190" s="97">
        <v>7736.7465000000002</v>
      </c>
      <c r="G190" s="133">
        <f t="shared" si="2"/>
        <v>0</v>
      </c>
    </row>
    <row r="191" spans="1:7" x14ac:dyDescent="0.25">
      <c r="A191" s="37">
        <v>189</v>
      </c>
      <c r="B191" s="12" t="s">
        <v>1105</v>
      </c>
      <c r="C191" s="17" t="s">
        <v>1106</v>
      </c>
      <c r="D191" s="17" t="s">
        <v>6</v>
      </c>
      <c r="E191" s="97">
        <v>42</v>
      </c>
      <c r="F191" s="97">
        <v>3420.9</v>
      </c>
      <c r="G191" s="133">
        <f t="shared" si="2"/>
        <v>143677.80000000002</v>
      </c>
    </row>
    <row r="192" spans="1:7" ht="22.5" x14ac:dyDescent="0.25">
      <c r="A192" s="37">
        <v>190</v>
      </c>
      <c r="B192" s="12" t="s">
        <v>1107</v>
      </c>
      <c r="C192" s="17" t="s">
        <v>1106</v>
      </c>
      <c r="D192" s="17" t="s">
        <v>6</v>
      </c>
      <c r="E192" s="97">
        <v>50</v>
      </c>
      <c r="F192" s="97">
        <v>3417.75</v>
      </c>
      <c r="G192" s="133">
        <f t="shared" si="2"/>
        <v>170887.5</v>
      </c>
    </row>
    <row r="193" spans="1:7" x14ac:dyDescent="0.25">
      <c r="A193" s="37">
        <v>191</v>
      </c>
      <c r="B193" s="12" t="s">
        <v>1108</v>
      </c>
      <c r="C193" s="17" t="s">
        <v>1106</v>
      </c>
      <c r="D193" s="17" t="s">
        <v>6</v>
      </c>
      <c r="E193" s="97">
        <v>50</v>
      </c>
      <c r="F193" s="97">
        <v>3417.75</v>
      </c>
      <c r="G193" s="133">
        <f t="shared" si="2"/>
        <v>170887.5</v>
      </c>
    </row>
    <row r="194" spans="1:7" ht="22.5" x14ac:dyDescent="0.25">
      <c r="A194" s="37">
        <v>192</v>
      </c>
      <c r="B194" s="12" t="s">
        <v>1109</v>
      </c>
      <c r="C194" s="17" t="s">
        <v>1106</v>
      </c>
      <c r="D194" s="17" t="s">
        <v>6</v>
      </c>
      <c r="E194" s="97">
        <v>60</v>
      </c>
      <c r="F194" s="97">
        <v>3417.75</v>
      </c>
      <c r="G194" s="133">
        <f t="shared" si="2"/>
        <v>205065</v>
      </c>
    </row>
    <row r="195" spans="1:7" x14ac:dyDescent="0.25">
      <c r="A195" s="37">
        <v>193</v>
      </c>
      <c r="B195" s="12" t="s">
        <v>1110</v>
      </c>
      <c r="C195" s="17" t="s">
        <v>1106</v>
      </c>
      <c r="D195" s="17" t="s">
        <v>6</v>
      </c>
      <c r="E195" s="97">
        <v>100</v>
      </c>
      <c r="F195" s="97">
        <v>3417.75</v>
      </c>
      <c r="G195" s="133">
        <f t="shared" si="2"/>
        <v>341775</v>
      </c>
    </row>
    <row r="196" spans="1:7" ht="22.5" x14ac:dyDescent="0.25">
      <c r="A196" s="37">
        <v>194</v>
      </c>
      <c r="B196" s="12" t="s">
        <v>1111</v>
      </c>
      <c r="C196" s="17" t="s">
        <v>1106</v>
      </c>
      <c r="D196" s="17" t="s">
        <v>6</v>
      </c>
      <c r="E196" s="97">
        <v>60</v>
      </c>
      <c r="F196" s="97">
        <v>3417.75</v>
      </c>
      <c r="G196" s="133">
        <f t="shared" si="2"/>
        <v>205065</v>
      </c>
    </row>
    <row r="197" spans="1:7" x14ac:dyDescent="0.25">
      <c r="A197" s="37">
        <v>195</v>
      </c>
      <c r="B197" s="12" t="s">
        <v>1112</v>
      </c>
      <c r="C197" s="17" t="s">
        <v>1106</v>
      </c>
      <c r="D197" s="17" t="s">
        <v>6</v>
      </c>
      <c r="E197" s="97">
        <v>60</v>
      </c>
      <c r="F197" s="97">
        <v>3417.75</v>
      </c>
      <c r="G197" s="133">
        <f t="shared" si="2"/>
        <v>205065</v>
      </c>
    </row>
    <row r="198" spans="1:7" ht="22.5" x14ac:dyDescent="0.25">
      <c r="A198" s="37">
        <v>196</v>
      </c>
      <c r="B198" s="12" t="s">
        <v>1113</v>
      </c>
      <c r="C198" s="17" t="s">
        <v>1106</v>
      </c>
      <c r="D198" s="17" t="s">
        <v>6</v>
      </c>
      <c r="E198" s="97">
        <v>60</v>
      </c>
      <c r="F198" s="97">
        <v>3748.5</v>
      </c>
      <c r="G198" s="133">
        <f t="shared" si="2"/>
        <v>224910</v>
      </c>
    </row>
    <row r="199" spans="1:7" x14ac:dyDescent="0.25">
      <c r="A199" s="37">
        <v>197</v>
      </c>
      <c r="B199" s="12" t="s">
        <v>1114</v>
      </c>
      <c r="C199" s="17" t="s">
        <v>1106</v>
      </c>
      <c r="D199" s="17" t="s">
        <v>6</v>
      </c>
      <c r="E199" s="97">
        <v>60</v>
      </c>
      <c r="F199" s="97">
        <v>3748.5</v>
      </c>
      <c r="G199" s="133">
        <f t="shared" si="2"/>
        <v>224910</v>
      </c>
    </row>
    <row r="200" spans="1:7" ht="22.5" x14ac:dyDescent="0.25">
      <c r="A200" s="37">
        <v>198</v>
      </c>
      <c r="B200" s="12" t="s">
        <v>1115</v>
      </c>
      <c r="C200" s="17" t="s">
        <v>1106</v>
      </c>
      <c r="D200" s="17" t="s">
        <v>6</v>
      </c>
      <c r="E200" s="97">
        <v>50</v>
      </c>
      <c r="F200" s="97">
        <v>3748.5</v>
      </c>
      <c r="G200" s="133">
        <f t="shared" si="2"/>
        <v>187425</v>
      </c>
    </row>
    <row r="201" spans="1:7" x14ac:dyDescent="0.25">
      <c r="A201" s="37">
        <v>199</v>
      </c>
      <c r="B201" s="12" t="s">
        <v>1116</v>
      </c>
      <c r="C201" s="17" t="s">
        <v>1106</v>
      </c>
      <c r="D201" s="17" t="s">
        <v>6</v>
      </c>
      <c r="E201" s="97">
        <v>100</v>
      </c>
      <c r="F201" s="97">
        <v>3638.25</v>
      </c>
      <c r="G201" s="133">
        <f t="shared" si="2"/>
        <v>363825</v>
      </c>
    </row>
    <row r="202" spans="1:7" ht="22.5" x14ac:dyDescent="0.25">
      <c r="A202" s="37">
        <v>200</v>
      </c>
      <c r="B202" s="12" t="s">
        <v>1117</v>
      </c>
      <c r="C202" s="17" t="s">
        <v>1106</v>
      </c>
      <c r="D202" s="17" t="s">
        <v>6</v>
      </c>
      <c r="E202" s="97">
        <v>200</v>
      </c>
      <c r="F202" s="97">
        <v>22616.055</v>
      </c>
      <c r="G202" s="133">
        <f t="shared" si="2"/>
        <v>4523211</v>
      </c>
    </row>
    <row r="203" spans="1:7" x14ac:dyDescent="0.25">
      <c r="A203" s="37">
        <v>201</v>
      </c>
      <c r="B203" s="12" t="s">
        <v>1118</v>
      </c>
      <c r="C203" s="17" t="s">
        <v>1106</v>
      </c>
      <c r="D203" s="17" t="s">
        <v>6</v>
      </c>
      <c r="E203" s="97">
        <v>200</v>
      </c>
      <c r="F203" s="97">
        <v>22616.055</v>
      </c>
      <c r="G203" s="133">
        <f t="shared" si="2"/>
        <v>4523211</v>
      </c>
    </row>
    <row r="204" spans="1:7" ht="22.5" x14ac:dyDescent="0.25">
      <c r="A204" s="37">
        <v>202</v>
      </c>
      <c r="B204" s="12" t="s">
        <v>1119</v>
      </c>
      <c r="C204" s="17" t="s">
        <v>1106</v>
      </c>
      <c r="D204" s="17" t="s">
        <v>6</v>
      </c>
      <c r="E204" s="97">
        <v>200</v>
      </c>
      <c r="F204" s="97">
        <v>22616.055</v>
      </c>
      <c r="G204" s="133">
        <f t="shared" si="2"/>
        <v>4523211</v>
      </c>
    </row>
    <row r="205" spans="1:7" s="113" customFormat="1" x14ac:dyDescent="0.25">
      <c r="A205" s="37">
        <v>203</v>
      </c>
      <c r="B205" s="12" t="s">
        <v>1527</v>
      </c>
      <c r="C205" s="17"/>
      <c r="D205" s="17" t="s">
        <v>14</v>
      </c>
      <c r="E205" s="97">
        <v>6</v>
      </c>
      <c r="F205" s="97">
        <v>247900</v>
      </c>
      <c r="G205" s="133">
        <f t="shared" si="2"/>
        <v>1487400</v>
      </c>
    </row>
    <row r="206" spans="1:7" s="113" customFormat="1" x14ac:dyDescent="0.25">
      <c r="A206" s="37">
        <v>204</v>
      </c>
      <c r="B206" s="12" t="s">
        <v>1564</v>
      </c>
      <c r="C206" s="17"/>
      <c r="D206" s="17" t="s">
        <v>14</v>
      </c>
      <c r="E206" s="97">
        <v>6</v>
      </c>
      <c r="F206" s="97">
        <v>1110</v>
      </c>
      <c r="G206" s="133">
        <f t="shared" si="2"/>
        <v>6660</v>
      </c>
    </row>
    <row r="207" spans="1:7" s="113" customFormat="1" x14ac:dyDescent="0.25">
      <c r="A207" s="37">
        <v>205</v>
      </c>
      <c r="B207" s="12" t="s">
        <v>1565</v>
      </c>
      <c r="C207" s="17"/>
      <c r="D207" s="17" t="s">
        <v>14</v>
      </c>
      <c r="E207" s="97">
        <v>6</v>
      </c>
      <c r="F207" s="97">
        <v>1388</v>
      </c>
      <c r="G207" s="133">
        <f t="shared" si="2"/>
        <v>8328</v>
      </c>
    </row>
    <row r="208" spans="1:7" s="113" customFormat="1" x14ac:dyDescent="0.25">
      <c r="A208" s="37">
        <v>206</v>
      </c>
      <c r="B208" s="12" t="s">
        <v>1566</v>
      </c>
      <c r="C208" s="17"/>
      <c r="D208" s="17" t="s">
        <v>14</v>
      </c>
      <c r="E208" s="97">
        <v>6</v>
      </c>
      <c r="F208" s="97">
        <v>1758</v>
      </c>
      <c r="G208" s="133">
        <f t="shared" si="2"/>
        <v>10548</v>
      </c>
    </row>
    <row r="209" spans="1:7" x14ac:dyDescent="0.25">
      <c r="A209" s="37">
        <v>207</v>
      </c>
      <c r="B209" s="12" t="s">
        <v>1120</v>
      </c>
      <c r="C209" s="17"/>
      <c r="D209" s="17" t="s">
        <v>6</v>
      </c>
      <c r="E209" s="97">
        <v>6</v>
      </c>
      <c r="F209" s="97">
        <v>2128</v>
      </c>
      <c r="G209" s="133">
        <f t="shared" si="2"/>
        <v>12768</v>
      </c>
    </row>
    <row r="210" spans="1:7" x14ac:dyDescent="0.25">
      <c r="A210" s="37">
        <v>208</v>
      </c>
      <c r="B210" s="12" t="s">
        <v>1121</v>
      </c>
      <c r="C210" s="17"/>
      <c r="D210" s="17" t="s">
        <v>6</v>
      </c>
      <c r="E210" s="97">
        <v>6</v>
      </c>
      <c r="F210" s="97">
        <v>2590</v>
      </c>
      <c r="G210" s="133">
        <f>+F210*E210</f>
        <v>15540</v>
      </c>
    </row>
    <row r="211" spans="1:7" s="113" customFormat="1" x14ac:dyDescent="0.25">
      <c r="A211" s="37">
        <v>209</v>
      </c>
      <c r="B211" s="12" t="s">
        <v>1567</v>
      </c>
      <c r="C211" s="17"/>
      <c r="D211" s="17" t="s">
        <v>6</v>
      </c>
      <c r="E211" s="97">
        <v>18</v>
      </c>
      <c r="F211" s="97">
        <v>6471</v>
      </c>
      <c r="G211" s="133">
        <f>+F211*E211</f>
        <v>116478</v>
      </c>
    </row>
    <row r="212" spans="1:7" s="113" customFormat="1" x14ac:dyDescent="0.25">
      <c r="A212" s="37">
        <v>210</v>
      </c>
      <c r="B212" s="12" t="s">
        <v>1568</v>
      </c>
      <c r="C212" s="17"/>
      <c r="D212" s="17" t="s">
        <v>6</v>
      </c>
      <c r="E212" s="97">
        <v>18</v>
      </c>
      <c r="F212" s="97">
        <v>8695</v>
      </c>
      <c r="G212" s="133">
        <f>+F212*E212</f>
        <v>156510</v>
      </c>
    </row>
    <row r="213" spans="1:7" s="113" customFormat="1" x14ac:dyDescent="0.25">
      <c r="A213" s="37">
        <v>211</v>
      </c>
      <c r="B213" s="12" t="s">
        <v>1569</v>
      </c>
      <c r="C213" s="17"/>
      <c r="D213" s="17" t="s">
        <v>6</v>
      </c>
      <c r="E213" s="97">
        <v>18</v>
      </c>
      <c r="F213" s="97">
        <v>9065</v>
      </c>
      <c r="G213" s="133">
        <f>+F213*E213</f>
        <v>163170</v>
      </c>
    </row>
    <row r="214" spans="1:7" x14ac:dyDescent="0.25">
      <c r="A214" s="37">
        <v>212</v>
      </c>
      <c r="B214" s="12" t="s">
        <v>1570</v>
      </c>
      <c r="C214" s="17"/>
      <c r="D214" s="17" t="s">
        <v>6</v>
      </c>
      <c r="E214" s="97">
        <v>18</v>
      </c>
      <c r="F214" s="97">
        <v>10638</v>
      </c>
      <c r="G214" s="133">
        <f>+F214*E214</f>
        <v>191484</v>
      </c>
    </row>
    <row r="215" spans="1:7" x14ac:dyDescent="0.25">
      <c r="A215" s="134"/>
      <c r="B215" s="129" t="s">
        <v>158</v>
      </c>
      <c r="C215" s="126"/>
      <c r="D215" s="126"/>
      <c r="E215" s="125"/>
      <c r="F215" s="130"/>
      <c r="G215" s="98">
        <f>SUM(G3:G210)</f>
        <v>2159435700.8930006</v>
      </c>
    </row>
    <row r="216" spans="1:7" x14ac:dyDescent="0.25">
      <c r="A216" s="134"/>
      <c r="B216" s="129" t="s">
        <v>159</v>
      </c>
      <c r="C216" s="126"/>
      <c r="D216" s="126"/>
      <c r="E216" s="125"/>
      <c r="F216" s="130"/>
      <c r="G216" s="98">
        <f>+G215*5/100</f>
        <v>107971785.04465003</v>
      </c>
    </row>
    <row r="217" spans="1:7" ht="15.75" thickBot="1" x14ac:dyDescent="0.3">
      <c r="A217" s="135"/>
      <c r="B217" s="136" t="s">
        <v>160</v>
      </c>
      <c r="C217" s="137"/>
      <c r="D217" s="137"/>
      <c r="E217" s="138"/>
      <c r="F217" s="139"/>
      <c r="G217" s="99">
        <f>SUM(G215:G216)</f>
        <v>2267407485.9376507</v>
      </c>
    </row>
    <row r="218" spans="1:7" ht="15.75" thickBot="1" x14ac:dyDescent="0.3">
      <c r="A218" s="9"/>
      <c r="B218" s="9"/>
      <c r="C218" s="9"/>
      <c r="D218" s="1084" t="s">
        <v>161</v>
      </c>
      <c r="E218" s="1084"/>
      <c r="F218" s="1084"/>
      <c r="G218" s="140">
        <f>SUM(G217)</f>
        <v>2267407485.9376507</v>
      </c>
    </row>
  </sheetData>
  <mergeCells count="2">
    <mergeCell ref="A1:G1"/>
    <mergeCell ref="D218:F218"/>
  </mergeCells>
  <printOptions horizontalCentered="1"/>
  <pageMargins left="0.7" right="0.7" top="0.75" bottom="1.62" header="0.3" footer="0.74"/>
  <pageSetup paperSize="5" scale="90" orientation="portrait" r:id="rId1"/>
  <headerFooter>
    <oddFooter xml:space="preserve">&amp;C122
</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6">
    <tabColor rgb="FF00B0F0"/>
  </sheetPr>
  <dimension ref="A1:G115"/>
  <sheetViews>
    <sheetView view="pageLayout" workbookViewId="0">
      <selection sqref="A1:G2"/>
    </sheetView>
  </sheetViews>
  <sheetFormatPr baseColWidth="10" defaultRowHeight="15" x14ac:dyDescent="0.25"/>
  <cols>
    <col min="1" max="1" width="7.28515625" customWidth="1"/>
    <col min="2" max="2" width="34.85546875" customWidth="1"/>
    <col min="3" max="3" width="9.42578125" bestFit="1" customWidth="1"/>
    <col min="4" max="4" width="10.5703125" bestFit="1" customWidth="1"/>
    <col min="5" max="5" width="13" bestFit="1" customWidth="1"/>
    <col min="6" max="6" width="11.5703125" bestFit="1" customWidth="1"/>
    <col min="7" max="7" width="17.5703125" bestFit="1" customWidth="1"/>
  </cols>
  <sheetData>
    <row r="1" spans="1:7" x14ac:dyDescent="0.25">
      <c r="A1" s="1081" t="s">
        <v>1430</v>
      </c>
      <c r="B1" s="1082"/>
      <c r="C1" s="1082"/>
      <c r="D1" s="1082"/>
      <c r="E1" s="1082"/>
      <c r="F1" s="1082"/>
      <c r="G1" s="1083"/>
    </row>
    <row r="2" spans="1:7" x14ac:dyDescent="0.25">
      <c r="A2" s="1085"/>
      <c r="B2" s="1086"/>
      <c r="C2" s="1086"/>
      <c r="D2" s="1086"/>
      <c r="E2" s="1086"/>
      <c r="F2" s="1086"/>
      <c r="G2" s="1087"/>
    </row>
    <row r="3" spans="1:7" ht="15.75" thickBot="1" x14ac:dyDescent="0.3">
      <c r="A3" s="56" t="s">
        <v>299</v>
      </c>
      <c r="B3" s="57" t="s">
        <v>374</v>
      </c>
      <c r="C3" s="57" t="s">
        <v>415</v>
      </c>
      <c r="D3" s="57" t="s">
        <v>714</v>
      </c>
      <c r="E3" s="57" t="s">
        <v>162</v>
      </c>
      <c r="F3" s="58" t="s">
        <v>1122</v>
      </c>
      <c r="G3" s="59" t="s">
        <v>164</v>
      </c>
    </row>
    <row r="4" spans="1:7" x14ac:dyDescent="0.25">
      <c r="A4" s="46">
        <v>1</v>
      </c>
      <c r="B4" s="48" t="s">
        <v>1123</v>
      </c>
      <c r="C4" s="49"/>
      <c r="D4" s="49" t="s">
        <v>721</v>
      </c>
      <c r="E4" s="49">
        <v>120</v>
      </c>
      <c r="F4" s="100">
        <v>218846.25</v>
      </c>
      <c r="G4" s="101">
        <f t="shared" ref="G4:G67" si="0">+F4*E4</f>
        <v>26261550</v>
      </c>
    </row>
    <row r="5" spans="1:7" x14ac:dyDescent="0.25">
      <c r="A5" s="37">
        <v>2</v>
      </c>
      <c r="B5" s="50" t="s">
        <v>1124</v>
      </c>
      <c r="C5" s="20" t="s">
        <v>992</v>
      </c>
      <c r="D5" s="20" t="s">
        <v>1125</v>
      </c>
      <c r="E5" s="20"/>
      <c r="F5" s="102">
        <v>42071.4</v>
      </c>
      <c r="G5" s="103">
        <f t="shared" si="0"/>
        <v>0</v>
      </c>
    </row>
    <row r="6" spans="1:7" x14ac:dyDescent="0.25">
      <c r="A6" s="37">
        <v>3</v>
      </c>
      <c r="B6" s="50" t="s">
        <v>1126</v>
      </c>
      <c r="C6" s="20" t="s">
        <v>992</v>
      </c>
      <c r="D6" s="20" t="s">
        <v>721</v>
      </c>
      <c r="E6" s="20">
        <v>500</v>
      </c>
      <c r="F6" s="102">
        <v>187727.4</v>
      </c>
      <c r="G6" s="103">
        <f t="shared" si="0"/>
        <v>93863700</v>
      </c>
    </row>
    <row r="7" spans="1:7" x14ac:dyDescent="0.25">
      <c r="A7" s="37">
        <v>4</v>
      </c>
      <c r="B7" s="50" t="s">
        <v>1127</v>
      </c>
      <c r="C7" s="20" t="s">
        <v>1128</v>
      </c>
      <c r="D7" s="20" t="s">
        <v>1129</v>
      </c>
      <c r="E7" s="20">
        <v>40</v>
      </c>
      <c r="F7" s="102">
        <v>8024.1</v>
      </c>
      <c r="G7" s="103">
        <f t="shared" si="0"/>
        <v>320964</v>
      </c>
    </row>
    <row r="8" spans="1:7" x14ac:dyDescent="0.25">
      <c r="A8" s="37">
        <v>5</v>
      </c>
      <c r="B8" s="50" t="s">
        <v>1130</v>
      </c>
      <c r="C8" s="20" t="s">
        <v>1128</v>
      </c>
      <c r="D8" s="20" t="s">
        <v>954</v>
      </c>
      <c r="E8" s="20">
        <v>600</v>
      </c>
      <c r="F8" s="102">
        <v>2719.5</v>
      </c>
      <c r="G8" s="103">
        <f t="shared" si="0"/>
        <v>1631700</v>
      </c>
    </row>
    <row r="9" spans="1:7" x14ac:dyDescent="0.25">
      <c r="A9" s="37">
        <v>6</v>
      </c>
      <c r="B9" s="50" t="s">
        <v>1131</v>
      </c>
      <c r="C9" s="20"/>
      <c r="D9" s="20" t="s">
        <v>25</v>
      </c>
      <c r="E9" s="20">
        <v>500</v>
      </c>
      <c r="F9" s="102">
        <v>27996.15</v>
      </c>
      <c r="G9" s="103">
        <f t="shared" si="0"/>
        <v>13998075</v>
      </c>
    </row>
    <row r="10" spans="1:7" x14ac:dyDescent="0.25">
      <c r="A10" s="37">
        <v>7</v>
      </c>
      <c r="B10" s="50" t="s">
        <v>1132</v>
      </c>
      <c r="C10" s="20"/>
      <c r="D10" s="20" t="s">
        <v>25</v>
      </c>
      <c r="E10" s="20">
        <v>500</v>
      </c>
      <c r="F10" s="102">
        <v>38905.65</v>
      </c>
      <c r="G10" s="103">
        <f t="shared" si="0"/>
        <v>19452825</v>
      </c>
    </row>
    <row r="11" spans="1:7" ht="25.5" x14ac:dyDescent="0.25">
      <c r="A11" s="37">
        <v>8</v>
      </c>
      <c r="B11" s="50" t="s">
        <v>1133</v>
      </c>
      <c r="C11" s="20"/>
      <c r="D11" s="20" t="s">
        <v>1134</v>
      </c>
      <c r="E11" s="20"/>
      <c r="F11" s="102">
        <v>28372.05</v>
      </c>
      <c r="G11" s="103">
        <f t="shared" si="0"/>
        <v>0</v>
      </c>
    </row>
    <row r="12" spans="1:7" x14ac:dyDescent="0.25">
      <c r="A12" s="37">
        <v>9</v>
      </c>
      <c r="B12" s="50" t="s">
        <v>1135</v>
      </c>
      <c r="C12" s="20"/>
      <c r="D12" s="20" t="s">
        <v>35</v>
      </c>
      <c r="E12" s="20"/>
      <c r="F12" s="102">
        <v>78886.5</v>
      </c>
      <c r="G12" s="103">
        <f t="shared" si="0"/>
        <v>0</v>
      </c>
    </row>
    <row r="13" spans="1:7" ht="25.5" x14ac:dyDescent="0.25">
      <c r="A13" s="37">
        <v>10</v>
      </c>
      <c r="B13" s="50" t="s">
        <v>1136</v>
      </c>
      <c r="C13" s="20"/>
      <c r="D13" s="20" t="s">
        <v>35</v>
      </c>
      <c r="E13" s="20"/>
      <c r="F13" s="102">
        <v>78886.5</v>
      </c>
      <c r="G13" s="103">
        <f t="shared" si="0"/>
        <v>0</v>
      </c>
    </row>
    <row r="14" spans="1:7" ht="25.5" x14ac:dyDescent="0.25">
      <c r="A14" s="37">
        <v>11</v>
      </c>
      <c r="B14" s="50" t="s">
        <v>1137</v>
      </c>
      <c r="C14" s="20"/>
      <c r="D14" s="20" t="s">
        <v>35</v>
      </c>
      <c r="E14" s="20"/>
      <c r="F14" s="102">
        <v>78886.5</v>
      </c>
      <c r="G14" s="103">
        <f t="shared" si="0"/>
        <v>0</v>
      </c>
    </row>
    <row r="15" spans="1:7" ht="25.5" x14ac:dyDescent="0.25">
      <c r="A15" s="37">
        <v>12</v>
      </c>
      <c r="B15" s="50" t="s">
        <v>1138</v>
      </c>
      <c r="C15" s="20"/>
      <c r="D15" s="20" t="s">
        <v>35</v>
      </c>
      <c r="E15" s="20"/>
      <c r="F15" s="102">
        <v>78886.5</v>
      </c>
      <c r="G15" s="103">
        <f t="shared" si="0"/>
        <v>0</v>
      </c>
    </row>
    <row r="16" spans="1:7" x14ac:dyDescent="0.25">
      <c r="A16" s="37">
        <v>13</v>
      </c>
      <c r="B16" s="50" t="s">
        <v>1139</v>
      </c>
      <c r="C16" s="20"/>
      <c r="D16" s="20" t="s">
        <v>1140</v>
      </c>
      <c r="E16" s="20">
        <v>40000</v>
      </c>
      <c r="F16" s="102">
        <v>2100</v>
      </c>
      <c r="G16" s="103">
        <f t="shared" si="0"/>
        <v>84000000</v>
      </c>
    </row>
    <row r="17" spans="1:7" x14ac:dyDescent="0.25">
      <c r="A17" s="37">
        <v>14</v>
      </c>
      <c r="B17" s="50" t="s">
        <v>1141</v>
      </c>
      <c r="C17" s="20"/>
      <c r="D17" s="20" t="s">
        <v>1142</v>
      </c>
      <c r="E17" s="20">
        <v>40</v>
      </c>
      <c r="F17" s="102">
        <v>6565.65</v>
      </c>
      <c r="G17" s="103">
        <f t="shared" si="0"/>
        <v>262626</v>
      </c>
    </row>
    <row r="18" spans="1:7" x14ac:dyDescent="0.25">
      <c r="A18" s="37">
        <v>15</v>
      </c>
      <c r="B18" s="50" t="s">
        <v>1141</v>
      </c>
      <c r="C18" s="20"/>
      <c r="D18" s="20" t="s">
        <v>1143</v>
      </c>
      <c r="E18" s="20">
        <v>800</v>
      </c>
      <c r="F18" s="102">
        <v>24315.9</v>
      </c>
      <c r="G18" s="103">
        <f t="shared" si="0"/>
        <v>19452720</v>
      </c>
    </row>
    <row r="19" spans="1:7" x14ac:dyDescent="0.25">
      <c r="A19" s="37">
        <v>16</v>
      </c>
      <c r="B19" s="50" t="s">
        <v>1144</v>
      </c>
      <c r="C19" s="20"/>
      <c r="D19" s="20" t="s">
        <v>151</v>
      </c>
      <c r="E19" s="20">
        <v>40</v>
      </c>
      <c r="F19" s="102">
        <v>18932.55</v>
      </c>
      <c r="G19" s="103">
        <f t="shared" si="0"/>
        <v>757302</v>
      </c>
    </row>
    <row r="20" spans="1:7" ht="25.5" x14ac:dyDescent="0.25">
      <c r="A20" s="37">
        <v>17</v>
      </c>
      <c r="B20" s="50" t="s">
        <v>1145</v>
      </c>
      <c r="C20" s="20" t="s">
        <v>1146</v>
      </c>
      <c r="D20" s="20" t="s">
        <v>721</v>
      </c>
      <c r="E20" s="20">
        <v>100</v>
      </c>
      <c r="F20" s="102">
        <v>249807.6</v>
      </c>
      <c r="G20" s="103">
        <f t="shared" si="0"/>
        <v>24980760</v>
      </c>
    </row>
    <row r="21" spans="1:7" ht="25.5" x14ac:dyDescent="0.25">
      <c r="A21" s="37">
        <v>18</v>
      </c>
      <c r="B21" s="50" t="s">
        <v>1147</v>
      </c>
      <c r="C21" s="20" t="s">
        <v>1148</v>
      </c>
      <c r="D21" s="20" t="s">
        <v>721</v>
      </c>
      <c r="E21" s="20"/>
      <c r="F21" s="102">
        <v>34043.1</v>
      </c>
      <c r="G21" s="103">
        <f t="shared" si="0"/>
        <v>0</v>
      </c>
    </row>
    <row r="22" spans="1:7" x14ac:dyDescent="0.25">
      <c r="A22" s="37">
        <v>19</v>
      </c>
      <c r="B22" s="50" t="s">
        <v>1149</v>
      </c>
      <c r="C22" s="20"/>
      <c r="D22" s="20" t="s">
        <v>151</v>
      </c>
      <c r="E22" s="20"/>
      <c r="F22" s="102">
        <v>11832.45</v>
      </c>
      <c r="G22" s="103">
        <f t="shared" si="0"/>
        <v>0</v>
      </c>
    </row>
    <row r="23" spans="1:7" ht="25.5" x14ac:dyDescent="0.25">
      <c r="A23" s="37">
        <v>20</v>
      </c>
      <c r="B23" s="50" t="s">
        <v>1150</v>
      </c>
      <c r="C23" s="20"/>
      <c r="D23" s="20" t="s">
        <v>151</v>
      </c>
      <c r="E23" s="20"/>
      <c r="F23" s="102">
        <v>7890.75</v>
      </c>
      <c r="G23" s="103">
        <f t="shared" si="0"/>
        <v>0</v>
      </c>
    </row>
    <row r="24" spans="1:7" ht="25.5" x14ac:dyDescent="0.25">
      <c r="A24" s="37">
        <v>21</v>
      </c>
      <c r="B24" s="50" t="s">
        <v>1151</v>
      </c>
      <c r="C24" s="20"/>
      <c r="D24" s="20" t="s">
        <v>151</v>
      </c>
      <c r="E24" s="20"/>
      <c r="F24" s="102">
        <v>9203.25</v>
      </c>
      <c r="G24" s="103">
        <f t="shared" si="0"/>
        <v>0</v>
      </c>
    </row>
    <row r="25" spans="1:7" x14ac:dyDescent="0.25">
      <c r="A25" s="37">
        <v>22</v>
      </c>
      <c r="B25" s="50" t="s">
        <v>1152</v>
      </c>
      <c r="C25" s="20"/>
      <c r="D25" s="20" t="s">
        <v>35</v>
      </c>
      <c r="E25" s="20">
        <v>200</v>
      </c>
      <c r="F25" s="102">
        <v>18407.55</v>
      </c>
      <c r="G25" s="103">
        <f t="shared" si="0"/>
        <v>3681510</v>
      </c>
    </row>
    <row r="26" spans="1:7" ht="25.5" x14ac:dyDescent="0.25">
      <c r="A26" s="37">
        <v>23</v>
      </c>
      <c r="B26" s="50" t="s">
        <v>1153</v>
      </c>
      <c r="C26" s="20"/>
      <c r="D26" s="20" t="s">
        <v>151</v>
      </c>
      <c r="E26" s="20"/>
      <c r="F26" s="102">
        <v>15776.25</v>
      </c>
      <c r="G26" s="103">
        <f t="shared" si="0"/>
        <v>0</v>
      </c>
    </row>
    <row r="27" spans="1:7" x14ac:dyDescent="0.25">
      <c r="A27" s="37">
        <v>24</v>
      </c>
      <c r="B27" s="50" t="s">
        <v>1154</v>
      </c>
      <c r="C27" s="20"/>
      <c r="D27" s="20" t="s">
        <v>1155</v>
      </c>
      <c r="E27" s="20"/>
      <c r="F27" s="102">
        <v>77812.350000000006</v>
      </c>
      <c r="G27" s="103">
        <f t="shared" si="0"/>
        <v>0</v>
      </c>
    </row>
    <row r="28" spans="1:7" x14ac:dyDescent="0.25">
      <c r="A28" s="37">
        <v>25</v>
      </c>
      <c r="B28" s="50" t="s">
        <v>1156</v>
      </c>
      <c r="C28" s="20"/>
      <c r="D28" s="20" t="s">
        <v>997</v>
      </c>
      <c r="E28" s="20">
        <v>80</v>
      </c>
      <c r="F28" s="102">
        <v>207660.6</v>
      </c>
      <c r="G28" s="103">
        <f t="shared" si="0"/>
        <v>16612848</v>
      </c>
    </row>
    <row r="29" spans="1:7" x14ac:dyDescent="0.25">
      <c r="A29" s="37">
        <v>26</v>
      </c>
      <c r="B29" s="50" t="s">
        <v>1157</v>
      </c>
      <c r="C29" s="20"/>
      <c r="D29" s="20" t="s">
        <v>1158</v>
      </c>
      <c r="E29" s="20">
        <v>600</v>
      </c>
      <c r="F29" s="102">
        <v>157500</v>
      </c>
      <c r="G29" s="103">
        <f t="shared" si="0"/>
        <v>94500000</v>
      </c>
    </row>
    <row r="30" spans="1:7" x14ac:dyDescent="0.25">
      <c r="A30" s="37">
        <v>27</v>
      </c>
      <c r="B30" s="50" t="s">
        <v>1159</v>
      </c>
      <c r="C30" s="20"/>
      <c r="D30" s="20" t="s">
        <v>25</v>
      </c>
      <c r="E30" s="20">
        <v>120</v>
      </c>
      <c r="F30" s="102">
        <v>99922.2</v>
      </c>
      <c r="G30" s="103">
        <f t="shared" si="0"/>
        <v>11990664</v>
      </c>
    </row>
    <row r="31" spans="1:7" x14ac:dyDescent="0.25">
      <c r="A31" s="37">
        <v>28</v>
      </c>
      <c r="B31" s="50" t="s">
        <v>1160</v>
      </c>
      <c r="C31" s="20"/>
      <c r="D31" s="20" t="s">
        <v>1125</v>
      </c>
      <c r="E31" s="20">
        <v>800</v>
      </c>
      <c r="F31" s="102">
        <v>33579</v>
      </c>
      <c r="G31" s="103">
        <f t="shared" si="0"/>
        <v>26863200</v>
      </c>
    </row>
    <row r="32" spans="1:7" ht="25.5" x14ac:dyDescent="0.25">
      <c r="A32" s="37">
        <v>29</v>
      </c>
      <c r="B32" s="50" t="s">
        <v>1161</v>
      </c>
      <c r="C32" s="20" t="s">
        <v>1162</v>
      </c>
      <c r="D32" s="20" t="s">
        <v>1163</v>
      </c>
      <c r="E32" s="20">
        <v>160</v>
      </c>
      <c r="F32" s="102">
        <v>78886.5</v>
      </c>
      <c r="G32" s="103">
        <f t="shared" si="0"/>
        <v>12621840</v>
      </c>
    </row>
    <row r="33" spans="1:7" ht="25.5" x14ac:dyDescent="0.25">
      <c r="A33" s="37">
        <v>30</v>
      </c>
      <c r="B33" s="50" t="s">
        <v>1164</v>
      </c>
      <c r="C33" s="20" t="s">
        <v>1162</v>
      </c>
      <c r="D33" s="20" t="s">
        <v>1163</v>
      </c>
      <c r="E33" s="20">
        <v>30</v>
      </c>
      <c r="F33" s="102">
        <v>78886.5</v>
      </c>
      <c r="G33" s="103">
        <f t="shared" si="0"/>
        <v>2366595</v>
      </c>
    </row>
    <row r="34" spans="1:7" x14ac:dyDescent="0.25">
      <c r="A34" s="37">
        <v>31</v>
      </c>
      <c r="B34" s="50" t="s">
        <v>1165</v>
      </c>
      <c r="C34" s="20"/>
      <c r="D34" s="20" t="s">
        <v>1163</v>
      </c>
      <c r="E34" s="20">
        <v>20</v>
      </c>
      <c r="F34" s="102">
        <v>99696.45</v>
      </c>
      <c r="G34" s="103">
        <f t="shared" si="0"/>
        <v>1993929</v>
      </c>
    </row>
    <row r="35" spans="1:7" x14ac:dyDescent="0.25">
      <c r="A35" s="37">
        <v>32</v>
      </c>
      <c r="B35" s="50" t="s">
        <v>1166</v>
      </c>
      <c r="C35" s="20"/>
      <c r="D35" s="20" t="s">
        <v>151</v>
      </c>
      <c r="E35" s="20"/>
      <c r="F35" s="102">
        <v>60478.95</v>
      </c>
      <c r="G35" s="103">
        <f t="shared" si="0"/>
        <v>0</v>
      </c>
    </row>
    <row r="36" spans="1:7" x14ac:dyDescent="0.25">
      <c r="A36" s="37">
        <v>33</v>
      </c>
      <c r="B36" s="50" t="s">
        <v>1167</v>
      </c>
      <c r="C36" s="20"/>
      <c r="D36" s="20" t="s">
        <v>721</v>
      </c>
      <c r="E36" s="20">
        <v>60</v>
      </c>
      <c r="F36" s="102">
        <v>107285.85</v>
      </c>
      <c r="G36" s="103">
        <f t="shared" si="0"/>
        <v>6437151</v>
      </c>
    </row>
    <row r="37" spans="1:7" x14ac:dyDescent="0.25">
      <c r="A37" s="37">
        <v>34</v>
      </c>
      <c r="B37" s="50" t="s">
        <v>1168</v>
      </c>
      <c r="C37" s="20"/>
      <c r="D37" s="20" t="s">
        <v>1125</v>
      </c>
      <c r="E37" s="20">
        <v>500</v>
      </c>
      <c r="F37" s="102">
        <v>107285.85</v>
      </c>
      <c r="G37" s="103">
        <f t="shared" si="0"/>
        <v>53642925</v>
      </c>
    </row>
    <row r="38" spans="1:7" x14ac:dyDescent="0.25">
      <c r="A38" s="37">
        <v>35</v>
      </c>
      <c r="B38" s="50" t="s">
        <v>1169</v>
      </c>
      <c r="C38" s="20"/>
      <c r="D38" s="20" t="s">
        <v>1163</v>
      </c>
      <c r="E38" s="20">
        <v>600</v>
      </c>
      <c r="F38" s="102">
        <v>107285.85</v>
      </c>
      <c r="G38" s="103">
        <f t="shared" si="0"/>
        <v>64371510</v>
      </c>
    </row>
    <row r="39" spans="1:7" x14ac:dyDescent="0.25">
      <c r="A39" s="37">
        <v>36</v>
      </c>
      <c r="B39" s="50" t="s">
        <v>1170</v>
      </c>
      <c r="C39" s="20" t="s">
        <v>1171</v>
      </c>
      <c r="D39" s="20" t="s">
        <v>25</v>
      </c>
      <c r="E39" s="20">
        <v>300</v>
      </c>
      <c r="F39" s="102">
        <v>107285.85</v>
      </c>
      <c r="G39" s="103">
        <f t="shared" si="0"/>
        <v>32185755</v>
      </c>
    </row>
    <row r="40" spans="1:7" ht="25.5" x14ac:dyDescent="0.25">
      <c r="A40" s="37">
        <v>37</v>
      </c>
      <c r="B40" s="13" t="s">
        <v>1172</v>
      </c>
      <c r="C40" s="20"/>
      <c r="D40" s="20" t="s">
        <v>925</v>
      </c>
      <c r="E40" s="20"/>
      <c r="F40" s="102">
        <v>9203.25</v>
      </c>
      <c r="G40" s="103">
        <f t="shared" si="0"/>
        <v>0</v>
      </c>
    </row>
    <row r="41" spans="1:7" ht="25.5" x14ac:dyDescent="0.25">
      <c r="A41" s="37">
        <v>38</v>
      </c>
      <c r="B41" s="13" t="s">
        <v>1173</v>
      </c>
      <c r="C41" s="20"/>
      <c r="D41" s="20" t="s">
        <v>925</v>
      </c>
      <c r="E41" s="20"/>
      <c r="F41" s="102">
        <v>9203.25</v>
      </c>
      <c r="G41" s="103">
        <f t="shared" si="0"/>
        <v>0</v>
      </c>
    </row>
    <row r="42" spans="1:7" ht="25.5" x14ac:dyDescent="0.25">
      <c r="A42" s="37">
        <v>39</v>
      </c>
      <c r="B42" s="13" t="s">
        <v>1174</v>
      </c>
      <c r="C42" s="20"/>
      <c r="D42" s="20" t="s">
        <v>925</v>
      </c>
      <c r="E42" s="20"/>
      <c r="F42" s="102">
        <v>9203.25</v>
      </c>
      <c r="G42" s="103">
        <f t="shared" si="0"/>
        <v>0</v>
      </c>
    </row>
    <row r="43" spans="1:7" x14ac:dyDescent="0.25">
      <c r="A43" s="37">
        <v>40</v>
      </c>
      <c r="B43" s="50" t="s">
        <v>1175</v>
      </c>
      <c r="C43" s="20"/>
      <c r="D43" s="20" t="s">
        <v>14</v>
      </c>
      <c r="E43" s="20">
        <v>700</v>
      </c>
      <c r="F43" s="102">
        <v>14103.6</v>
      </c>
      <c r="G43" s="103">
        <f t="shared" si="0"/>
        <v>9872520</v>
      </c>
    </row>
    <row r="44" spans="1:7" x14ac:dyDescent="0.25">
      <c r="A44" s="37">
        <v>41</v>
      </c>
      <c r="B44" s="50" t="s">
        <v>1176</v>
      </c>
      <c r="C44" s="20"/>
      <c r="D44" s="20" t="s">
        <v>721</v>
      </c>
      <c r="E44" s="20">
        <v>80</v>
      </c>
      <c r="F44" s="102">
        <v>14103.6</v>
      </c>
      <c r="G44" s="103">
        <f t="shared" si="0"/>
        <v>1128288</v>
      </c>
    </row>
    <row r="45" spans="1:7" x14ac:dyDescent="0.25">
      <c r="A45" s="37">
        <v>42</v>
      </c>
      <c r="B45" s="50" t="s">
        <v>1177</v>
      </c>
      <c r="C45" s="20"/>
      <c r="D45" s="20" t="s">
        <v>151</v>
      </c>
      <c r="E45" s="20"/>
      <c r="F45" s="102">
        <v>22371.3</v>
      </c>
      <c r="G45" s="103">
        <f t="shared" si="0"/>
        <v>0</v>
      </c>
    </row>
    <row r="46" spans="1:7" x14ac:dyDescent="0.25">
      <c r="A46" s="37">
        <v>43</v>
      </c>
      <c r="B46" s="50" t="s">
        <v>1178</v>
      </c>
      <c r="C46" s="20"/>
      <c r="D46" s="20" t="s">
        <v>1179</v>
      </c>
      <c r="E46" s="20">
        <v>500</v>
      </c>
      <c r="F46" s="102">
        <v>118329.75</v>
      </c>
      <c r="G46" s="103">
        <f t="shared" si="0"/>
        <v>59164875</v>
      </c>
    </row>
    <row r="47" spans="1:7" x14ac:dyDescent="0.25">
      <c r="A47" s="37">
        <v>44</v>
      </c>
      <c r="B47" s="50" t="s">
        <v>1180</v>
      </c>
      <c r="C47" s="20" t="s">
        <v>1056</v>
      </c>
      <c r="D47" s="20" t="s">
        <v>1181</v>
      </c>
      <c r="E47" s="20"/>
      <c r="F47" s="102">
        <v>118329.75</v>
      </c>
      <c r="G47" s="103">
        <f t="shared" si="0"/>
        <v>0</v>
      </c>
    </row>
    <row r="48" spans="1:7" ht="38.25" x14ac:dyDescent="0.25">
      <c r="A48" s="37">
        <v>45</v>
      </c>
      <c r="B48" s="50" t="s">
        <v>1182</v>
      </c>
      <c r="C48" s="20" t="s">
        <v>1183</v>
      </c>
      <c r="D48" s="20" t="s">
        <v>1184</v>
      </c>
      <c r="E48" s="20"/>
      <c r="F48" s="102">
        <v>42071.4</v>
      </c>
      <c r="G48" s="103">
        <f t="shared" si="0"/>
        <v>0</v>
      </c>
    </row>
    <row r="49" spans="1:7" x14ac:dyDescent="0.25">
      <c r="A49" s="37">
        <v>46</v>
      </c>
      <c r="B49" s="13" t="s">
        <v>1185</v>
      </c>
      <c r="C49" s="20"/>
      <c r="D49" s="20" t="s">
        <v>14</v>
      </c>
      <c r="E49" s="20">
        <v>500</v>
      </c>
      <c r="F49" s="102">
        <v>7660.8</v>
      </c>
      <c r="G49" s="103">
        <f t="shared" si="0"/>
        <v>3830400</v>
      </c>
    </row>
    <row r="50" spans="1:7" x14ac:dyDescent="0.25">
      <c r="A50" s="37">
        <v>47</v>
      </c>
      <c r="B50" s="13" t="s">
        <v>1186</v>
      </c>
      <c r="C50" s="20"/>
      <c r="D50" s="20" t="s">
        <v>14</v>
      </c>
      <c r="E50" s="20"/>
      <c r="F50" s="102">
        <v>7660.8</v>
      </c>
      <c r="G50" s="103">
        <f t="shared" si="0"/>
        <v>0</v>
      </c>
    </row>
    <row r="51" spans="1:7" x14ac:dyDescent="0.25">
      <c r="A51" s="37">
        <v>48</v>
      </c>
      <c r="B51" s="50" t="s">
        <v>1187</v>
      </c>
      <c r="C51" s="20"/>
      <c r="D51" s="20" t="s">
        <v>14</v>
      </c>
      <c r="E51" s="20"/>
      <c r="F51" s="102">
        <v>7660.8</v>
      </c>
      <c r="G51" s="103">
        <f t="shared" si="0"/>
        <v>0</v>
      </c>
    </row>
    <row r="52" spans="1:7" x14ac:dyDescent="0.25">
      <c r="A52" s="37">
        <v>49</v>
      </c>
      <c r="B52" s="50" t="s">
        <v>1188</v>
      </c>
      <c r="C52" s="20"/>
      <c r="D52" s="20" t="s">
        <v>14</v>
      </c>
      <c r="E52" s="20">
        <v>500</v>
      </c>
      <c r="F52" s="102">
        <v>7660.8</v>
      </c>
      <c r="G52" s="103">
        <f t="shared" si="0"/>
        <v>3830400</v>
      </c>
    </row>
    <row r="53" spans="1:7" x14ac:dyDescent="0.25">
      <c r="A53" s="37">
        <v>50</v>
      </c>
      <c r="B53" s="13" t="s">
        <v>1189</v>
      </c>
      <c r="C53" s="20"/>
      <c r="D53" s="20" t="s">
        <v>14</v>
      </c>
      <c r="E53" s="20">
        <v>400</v>
      </c>
      <c r="F53" s="102">
        <v>7660.8</v>
      </c>
      <c r="G53" s="103">
        <f t="shared" si="0"/>
        <v>3064320</v>
      </c>
    </row>
    <row r="54" spans="1:7" x14ac:dyDescent="0.25">
      <c r="A54" s="37">
        <v>51</v>
      </c>
      <c r="B54" s="13" t="s">
        <v>1190</v>
      </c>
      <c r="C54" s="20"/>
      <c r="D54" s="20" t="s">
        <v>14</v>
      </c>
      <c r="E54" s="20">
        <v>150</v>
      </c>
      <c r="F54" s="102">
        <v>9729.2999999999993</v>
      </c>
      <c r="G54" s="103">
        <f t="shared" si="0"/>
        <v>1459395</v>
      </c>
    </row>
    <row r="55" spans="1:7" x14ac:dyDescent="0.25">
      <c r="A55" s="37">
        <v>52</v>
      </c>
      <c r="B55" s="13" t="s">
        <v>1191</v>
      </c>
      <c r="C55" s="20"/>
      <c r="D55" s="20" t="s">
        <v>14</v>
      </c>
      <c r="E55" s="20"/>
      <c r="F55" s="102">
        <v>9729.2999999999993</v>
      </c>
      <c r="G55" s="103">
        <f t="shared" si="0"/>
        <v>0</v>
      </c>
    </row>
    <row r="56" spans="1:7" x14ac:dyDescent="0.25">
      <c r="A56" s="37">
        <v>53</v>
      </c>
      <c r="B56" s="50" t="s">
        <v>1192</v>
      </c>
      <c r="C56" s="20"/>
      <c r="D56" s="20" t="s">
        <v>14</v>
      </c>
      <c r="E56" s="20">
        <v>150</v>
      </c>
      <c r="F56" s="102">
        <v>68085.149999999994</v>
      </c>
      <c r="G56" s="103">
        <f t="shared" si="0"/>
        <v>10212772.5</v>
      </c>
    </row>
    <row r="57" spans="1:7" ht="25.5" x14ac:dyDescent="0.25">
      <c r="A57" s="37">
        <v>54</v>
      </c>
      <c r="B57" s="50" t="s">
        <v>1193</v>
      </c>
      <c r="C57" s="20" t="s">
        <v>1162</v>
      </c>
      <c r="D57" s="20" t="s">
        <v>14</v>
      </c>
      <c r="E57" s="20"/>
      <c r="F57" s="102">
        <v>114385.95</v>
      </c>
      <c r="G57" s="103">
        <f t="shared" si="0"/>
        <v>0</v>
      </c>
    </row>
    <row r="58" spans="1:7" x14ac:dyDescent="0.25">
      <c r="A58" s="37">
        <v>55</v>
      </c>
      <c r="B58" s="50" t="s">
        <v>1194</v>
      </c>
      <c r="C58" s="20"/>
      <c r="D58" s="20" t="s">
        <v>1195</v>
      </c>
      <c r="E58" s="20">
        <v>40</v>
      </c>
      <c r="F58" s="102">
        <v>155.4</v>
      </c>
      <c r="G58" s="103">
        <f t="shared" si="0"/>
        <v>6216</v>
      </c>
    </row>
    <row r="59" spans="1:7" x14ac:dyDescent="0.25">
      <c r="A59" s="37">
        <v>56</v>
      </c>
      <c r="B59" s="50" t="s">
        <v>1196</v>
      </c>
      <c r="C59" s="20"/>
      <c r="D59" s="20" t="s">
        <v>25</v>
      </c>
      <c r="E59" s="20">
        <v>40</v>
      </c>
      <c r="F59" s="102">
        <v>32343.15</v>
      </c>
      <c r="G59" s="103">
        <f t="shared" si="0"/>
        <v>1293726</v>
      </c>
    </row>
    <row r="60" spans="1:7" x14ac:dyDescent="0.25">
      <c r="A60" s="37">
        <v>57</v>
      </c>
      <c r="B60" s="50" t="s">
        <v>1020</v>
      </c>
      <c r="C60" s="20" t="s">
        <v>1197</v>
      </c>
      <c r="D60" s="20" t="s">
        <v>25</v>
      </c>
      <c r="E60" s="20">
        <v>40</v>
      </c>
      <c r="F60" s="102">
        <v>32343.15</v>
      </c>
      <c r="G60" s="103">
        <f t="shared" si="0"/>
        <v>1293726</v>
      </c>
    </row>
    <row r="61" spans="1:7" x14ac:dyDescent="0.25">
      <c r="A61" s="37">
        <v>58</v>
      </c>
      <c r="B61" s="50" t="s">
        <v>1021</v>
      </c>
      <c r="C61" s="20" t="s">
        <v>1197</v>
      </c>
      <c r="D61" s="20" t="s">
        <v>25</v>
      </c>
      <c r="E61" s="20"/>
      <c r="F61" s="102">
        <v>11043.9</v>
      </c>
      <c r="G61" s="103">
        <f t="shared" si="0"/>
        <v>0</v>
      </c>
    </row>
    <row r="62" spans="1:7" x14ac:dyDescent="0.25">
      <c r="A62" s="37">
        <v>59</v>
      </c>
      <c r="B62" s="50" t="s">
        <v>1198</v>
      </c>
      <c r="C62" s="20"/>
      <c r="D62" s="20" t="s">
        <v>721</v>
      </c>
      <c r="E62" s="20"/>
      <c r="F62" s="102">
        <v>23949.45</v>
      </c>
      <c r="G62" s="103">
        <f t="shared" si="0"/>
        <v>0</v>
      </c>
    </row>
    <row r="63" spans="1:7" x14ac:dyDescent="0.25">
      <c r="A63" s="37">
        <v>60</v>
      </c>
      <c r="B63" s="50" t="s">
        <v>1199</v>
      </c>
      <c r="C63" s="20" t="s">
        <v>1200</v>
      </c>
      <c r="D63" s="20" t="s">
        <v>1143</v>
      </c>
      <c r="E63" s="20">
        <v>1000</v>
      </c>
      <c r="F63" s="102">
        <v>94500</v>
      </c>
      <c r="G63" s="103">
        <f t="shared" si="0"/>
        <v>94500000</v>
      </c>
    </row>
    <row r="64" spans="1:7" x14ac:dyDescent="0.25">
      <c r="A64" s="37">
        <v>61</v>
      </c>
      <c r="B64" s="50" t="s">
        <v>1201</v>
      </c>
      <c r="C64" s="20"/>
      <c r="D64" s="20" t="s">
        <v>25</v>
      </c>
      <c r="E64" s="20"/>
      <c r="F64" s="102">
        <v>66140.55</v>
      </c>
      <c r="G64" s="103">
        <f t="shared" si="0"/>
        <v>0</v>
      </c>
    </row>
    <row r="65" spans="1:7" x14ac:dyDescent="0.25">
      <c r="A65" s="37">
        <v>62</v>
      </c>
      <c r="B65" s="50" t="s">
        <v>1202</v>
      </c>
      <c r="C65" s="20"/>
      <c r="D65" s="20" t="s">
        <v>14</v>
      </c>
      <c r="E65" s="20">
        <v>900</v>
      </c>
      <c r="F65" s="102">
        <v>36473.85</v>
      </c>
      <c r="G65" s="103">
        <f t="shared" si="0"/>
        <v>32826465</v>
      </c>
    </row>
    <row r="66" spans="1:7" ht="25.5" x14ac:dyDescent="0.25">
      <c r="A66" s="37">
        <v>63</v>
      </c>
      <c r="B66" s="50" t="s">
        <v>1203</v>
      </c>
      <c r="C66" s="20"/>
      <c r="D66" s="20" t="s">
        <v>1204</v>
      </c>
      <c r="E66" s="20"/>
      <c r="F66" s="102">
        <v>36473.85</v>
      </c>
      <c r="G66" s="103">
        <f t="shared" si="0"/>
        <v>0</v>
      </c>
    </row>
    <row r="67" spans="1:7" ht="25.5" x14ac:dyDescent="0.25">
      <c r="A67" s="37">
        <v>64</v>
      </c>
      <c r="B67" s="50" t="s">
        <v>1205</v>
      </c>
      <c r="C67" s="20"/>
      <c r="D67" s="20" t="s">
        <v>1204</v>
      </c>
      <c r="E67" s="20"/>
      <c r="F67" s="102">
        <v>36473.85</v>
      </c>
      <c r="G67" s="103">
        <f t="shared" si="0"/>
        <v>0</v>
      </c>
    </row>
    <row r="68" spans="1:7" ht="25.5" x14ac:dyDescent="0.25">
      <c r="A68" s="37">
        <v>65</v>
      </c>
      <c r="B68" s="50" t="s">
        <v>1206</v>
      </c>
      <c r="C68" s="20"/>
      <c r="D68" s="20" t="s">
        <v>1204</v>
      </c>
      <c r="E68" s="20"/>
      <c r="F68" s="102">
        <v>36473.85</v>
      </c>
      <c r="G68" s="103">
        <f t="shared" ref="G68:G110" si="1">+F68*E68</f>
        <v>0</v>
      </c>
    </row>
    <row r="69" spans="1:7" ht="25.5" x14ac:dyDescent="0.25">
      <c r="A69" s="37">
        <v>66</v>
      </c>
      <c r="B69" s="50" t="s">
        <v>1207</v>
      </c>
      <c r="C69" s="20"/>
      <c r="D69" s="20" t="s">
        <v>1204</v>
      </c>
      <c r="E69" s="20"/>
      <c r="F69" s="102">
        <v>36473.85</v>
      </c>
      <c r="G69" s="103">
        <f t="shared" si="1"/>
        <v>0</v>
      </c>
    </row>
    <row r="70" spans="1:7" ht="25.5" x14ac:dyDescent="0.25">
      <c r="A70" s="37">
        <v>67</v>
      </c>
      <c r="B70" s="50" t="s">
        <v>1208</v>
      </c>
      <c r="C70" s="20"/>
      <c r="D70" s="20" t="s">
        <v>1204</v>
      </c>
      <c r="E70" s="20"/>
      <c r="F70" s="102">
        <v>36473.85</v>
      </c>
      <c r="G70" s="103">
        <f t="shared" si="1"/>
        <v>0</v>
      </c>
    </row>
    <row r="71" spans="1:7" ht="25.5" x14ac:dyDescent="0.25">
      <c r="A71" s="37">
        <v>68</v>
      </c>
      <c r="B71" s="50" t="s">
        <v>1209</v>
      </c>
      <c r="C71" s="20"/>
      <c r="D71" s="20" t="s">
        <v>1204</v>
      </c>
      <c r="E71" s="20"/>
      <c r="F71" s="102">
        <v>29583.75</v>
      </c>
      <c r="G71" s="103">
        <f t="shared" si="1"/>
        <v>0</v>
      </c>
    </row>
    <row r="72" spans="1:7" ht="25.5" x14ac:dyDescent="0.25">
      <c r="A72" s="37">
        <v>69</v>
      </c>
      <c r="B72" s="50" t="s">
        <v>1210</v>
      </c>
      <c r="C72" s="20"/>
      <c r="D72" s="20" t="s">
        <v>1204</v>
      </c>
      <c r="E72" s="20"/>
      <c r="F72" s="102">
        <v>36473.85</v>
      </c>
      <c r="G72" s="103">
        <f t="shared" si="1"/>
        <v>0</v>
      </c>
    </row>
    <row r="73" spans="1:7" ht="25.5" x14ac:dyDescent="0.25">
      <c r="A73" s="37">
        <v>70</v>
      </c>
      <c r="B73" s="50" t="s">
        <v>1211</v>
      </c>
      <c r="C73" s="20"/>
      <c r="D73" s="20" t="s">
        <v>1204</v>
      </c>
      <c r="E73" s="20"/>
      <c r="F73" s="102">
        <v>36473.85</v>
      </c>
      <c r="G73" s="103">
        <f t="shared" si="1"/>
        <v>0</v>
      </c>
    </row>
    <row r="74" spans="1:7" x14ac:dyDescent="0.25">
      <c r="A74" s="37">
        <v>71</v>
      </c>
      <c r="B74" s="50" t="s">
        <v>1212</v>
      </c>
      <c r="C74" s="20"/>
      <c r="D74" s="20" t="s">
        <v>227</v>
      </c>
      <c r="E74" s="20"/>
      <c r="F74" s="102">
        <v>55927.199999999997</v>
      </c>
      <c r="G74" s="103">
        <f t="shared" si="1"/>
        <v>0</v>
      </c>
    </row>
    <row r="75" spans="1:7" x14ac:dyDescent="0.25">
      <c r="A75" s="37">
        <v>72</v>
      </c>
      <c r="B75" s="50" t="s">
        <v>1213</v>
      </c>
      <c r="C75" s="20"/>
      <c r="D75" s="20" t="s">
        <v>151</v>
      </c>
      <c r="E75" s="20">
        <v>500</v>
      </c>
      <c r="F75" s="102">
        <v>14606.55</v>
      </c>
      <c r="G75" s="103">
        <f t="shared" si="1"/>
        <v>7303275</v>
      </c>
    </row>
    <row r="76" spans="1:7" x14ac:dyDescent="0.25">
      <c r="A76" s="37">
        <v>73</v>
      </c>
      <c r="B76" s="50" t="s">
        <v>1214</v>
      </c>
      <c r="C76" s="20" t="s">
        <v>1215</v>
      </c>
      <c r="D76" s="25" t="s">
        <v>721</v>
      </c>
      <c r="E76" s="20">
        <v>350</v>
      </c>
      <c r="F76" s="102">
        <v>73627.05</v>
      </c>
      <c r="G76" s="103">
        <f t="shared" si="1"/>
        <v>25769467.5</v>
      </c>
    </row>
    <row r="77" spans="1:7" ht="25.5" x14ac:dyDescent="0.25">
      <c r="A77" s="37">
        <v>74</v>
      </c>
      <c r="B77" s="50" t="s">
        <v>1216</v>
      </c>
      <c r="C77" s="20" t="s">
        <v>1162</v>
      </c>
      <c r="D77" s="20" t="s">
        <v>25</v>
      </c>
      <c r="E77" s="20">
        <v>150</v>
      </c>
      <c r="F77" s="102">
        <v>73627.05</v>
      </c>
      <c r="G77" s="103">
        <f t="shared" si="1"/>
        <v>11044057.5</v>
      </c>
    </row>
    <row r="78" spans="1:7" ht="25.5" x14ac:dyDescent="0.25">
      <c r="A78" s="37">
        <v>75</v>
      </c>
      <c r="B78" s="50" t="s">
        <v>1217</v>
      </c>
      <c r="C78" s="20" t="s">
        <v>1162</v>
      </c>
      <c r="D78" s="20" t="s">
        <v>25</v>
      </c>
      <c r="E78" s="20">
        <v>100</v>
      </c>
      <c r="F78" s="102">
        <v>73627.05</v>
      </c>
      <c r="G78" s="103">
        <f t="shared" si="1"/>
        <v>7362705</v>
      </c>
    </row>
    <row r="79" spans="1:7" x14ac:dyDescent="0.25">
      <c r="A79" s="37">
        <v>76</v>
      </c>
      <c r="B79" s="50" t="s">
        <v>1218</v>
      </c>
      <c r="C79" s="20"/>
      <c r="D79" s="20" t="s">
        <v>997</v>
      </c>
      <c r="E79" s="20">
        <v>150</v>
      </c>
      <c r="F79" s="102">
        <v>44702.7</v>
      </c>
      <c r="G79" s="103">
        <f t="shared" si="1"/>
        <v>6705405</v>
      </c>
    </row>
    <row r="80" spans="1:7" x14ac:dyDescent="0.25">
      <c r="A80" s="37">
        <v>77</v>
      </c>
      <c r="B80" s="50" t="s">
        <v>1219</v>
      </c>
      <c r="C80" s="20"/>
      <c r="D80" s="20" t="s">
        <v>25</v>
      </c>
      <c r="E80" s="20"/>
      <c r="F80" s="102">
        <v>44702.7</v>
      </c>
      <c r="G80" s="103">
        <f t="shared" si="1"/>
        <v>0</v>
      </c>
    </row>
    <row r="81" spans="1:7" x14ac:dyDescent="0.25">
      <c r="A81" s="37">
        <v>78</v>
      </c>
      <c r="B81" s="50" t="s">
        <v>1220</v>
      </c>
      <c r="C81" s="20"/>
      <c r="D81" s="20" t="s">
        <v>721</v>
      </c>
      <c r="E81" s="20"/>
      <c r="F81" s="102">
        <v>15183</v>
      </c>
      <c r="G81" s="103">
        <f t="shared" si="1"/>
        <v>0</v>
      </c>
    </row>
    <row r="82" spans="1:7" x14ac:dyDescent="0.25">
      <c r="A82" s="37">
        <v>79</v>
      </c>
      <c r="B82" s="50" t="s">
        <v>1221</v>
      </c>
      <c r="C82" s="20"/>
      <c r="D82" s="20" t="s">
        <v>721</v>
      </c>
      <c r="E82" s="20">
        <v>50</v>
      </c>
      <c r="F82" s="102">
        <v>21035.7</v>
      </c>
      <c r="G82" s="103">
        <f t="shared" si="1"/>
        <v>1051785</v>
      </c>
    </row>
    <row r="83" spans="1:7" x14ac:dyDescent="0.25">
      <c r="A83" s="37">
        <v>80</v>
      </c>
      <c r="B83" s="50" t="s">
        <v>1222</v>
      </c>
      <c r="C83" s="20"/>
      <c r="D83" s="20" t="s">
        <v>227</v>
      </c>
      <c r="E83" s="20"/>
      <c r="F83" s="102">
        <v>31611.3</v>
      </c>
      <c r="G83" s="103">
        <f t="shared" si="1"/>
        <v>0</v>
      </c>
    </row>
    <row r="84" spans="1:7" x14ac:dyDescent="0.25">
      <c r="A84" s="37">
        <v>81</v>
      </c>
      <c r="B84" s="50" t="s">
        <v>1223</v>
      </c>
      <c r="C84" s="20"/>
      <c r="D84" s="20" t="s">
        <v>227</v>
      </c>
      <c r="E84" s="20"/>
      <c r="F84" s="102">
        <v>63110.25</v>
      </c>
      <c r="G84" s="103">
        <f t="shared" si="1"/>
        <v>0</v>
      </c>
    </row>
    <row r="85" spans="1:7" x14ac:dyDescent="0.25">
      <c r="A85" s="37">
        <v>82</v>
      </c>
      <c r="B85" s="50" t="s">
        <v>1224</v>
      </c>
      <c r="C85" s="20"/>
      <c r="D85" s="20" t="s">
        <v>25</v>
      </c>
      <c r="E85" s="20"/>
      <c r="F85" s="102">
        <v>35987.699999999997</v>
      </c>
      <c r="G85" s="103">
        <f t="shared" si="1"/>
        <v>0</v>
      </c>
    </row>
    <row r="86" spans="1:7" x14ac:dyDescent="0.25">
      <c r="A86" s="37">
        <v>83</v>
      </c>
      <c r="B86" s="50" t="s">
        <v>1225</v>
      </c>
      <c r="C86" s="20"/>
      <c r="D86" s="20" t="s">
        <v>1226</v>
      </c>
      <c r="E86" s="20">
        <v>300</v>
      </c>
      <c r="F86" s="102">
        <v>35987.699999999997</v>
      </c>
      <c r="G86" s="103">
        <f t="shared" si="1"/>
        <v>10796310</v>
      </c>
    </row>
    <row r="87" spans="1:7" x14ac:dyDescent="0.25">
      <c r="A87" s="37">
        <v>84</v>
      </c>
      <c r="B87" s="50" t="s">
        <v>1227</v>
      </c>
      <c r="C87" s="20" t="s">
        <v>1056</v>
      </c>
      <c r="D87" s="20" t="s">
        <v>25</v>
      </c>
      <c r="E87" s="20"/>
      <c r="F87" s="102">
        <v>407580.6</v>
      </c>
      <c r="G87" s="103">
        <f t="shared" si="1"/>
        <v>0</v>
      </c>
    </row>
    <row r="88" spans="1:7" x14ac:dyDescent="0.25">
      <c r="A88" s="37">
        <v>85</v>
      </c>
      <c r="B88" s="13" t="s">
        <v>1228</v>
      </c>
      <c r="C88" s="20"/>
      <c r="D88" s="20" t="s">
        <v>14</v>
      </c>
      <c r="E88" s="20">
        <v>300</v>
      </c>
      <c r="F88" s="102">
        <v>8024.1</v>
      </c>
      <c r="G88" s="103">
        <f t="shared" si="1"/>
        <v>2407230</v>
      </c>
    </row>
    <row r="89" spans="1:7" x14ac:dyDescent="0.25">
      <c r="A89" s="37">
        <v>86</v>
      </c>
      <c r="B89" s="50" t="s">
        <v>1229</v>
      </c>
      <c r="C89" s="20"/>
      <c r="D89" s="20" t="s">
        <v>14</v>
      </c>
      <c r="E89" s="20"/>
      <c r="F89" s="102">
        <v>21884.1</v>
      </c>
      <c r="G89" s="103">
        <f t="shared" si="1"/>
        <v>0</v>
      </c>
    </row>
    <row r="90" spans="1:7" x14ac:dyDescent="0.25">
      <c r="A90" s="37">
        <v>87</v>
      </c>
      <c r="B90" s="50" t="s">
        <v>1230</v>
      </c>
      <c r="C90" s="20"/>
      <c r="D90" s="20" t="s">
        <v>25</v>
      </c>
      <c r="E90" s="20">
        <v>400</v>
      </c>
      <c r="F90" s="102">
        <v>20669.25</v>
      </c>
      <c r="G90" s="103">
        <f t="shared" si="1"/>
        <v>8267700</v>
      </c>
    </row>
    <row r="91" spans="1:7" x14ac:dyDescent="0.25">
      <c r="A91" s="37">
        <v>88</v>
      </c>
      <c r="B91" s="50" t="s">
        <v>1231</v>
      </c>
      <c r="C91" s="20"/>
      <c r="D91" s="20" t="s">
        <v>14</v>
      </c>
      <c r="E91" s="20">
        <v>50</v>
      </c>
      <c r="F91" s="102">
        <v>20669.25</v>
      </c>
      <c r="G91" s="103">
        <f t="shared" si="1"/>
        <v>1033462.5</v>
      </c>
    </row>
    <row r="92" spans="1:7" x14ac:dyDescent="0.25">
      <c r="A92" s="37">
        <v>89</v>
      </c>
      <c r="B92" s="50" t="s">
        <v>1232</v>
      </c>
      <c r="C92" s="20"/>
      <c r="D92" s="20" t="s">
        <v>1125</v>
      </c>
      <c r="E92" s="20">
        <v>500</v>
      </c>
      <c r="F92" s="102">
        <v>118329.75</v>
      </c>
      <c r="G92" s="103">
        <f t="shared" si="1"/>
        <v>59164875</v>
      </c>
    </row>
    <row r="93" spans="1:7" x14ac:dyDescent="0.25">
      <c r="A93" s="37">
        <v>90</v>
      </c>
      <c r="B93" s="50" t="s">
        <v>1233</v>
      </c>
      <c r="C93" s="20"/>
      <c r="D93" s="20" t="s">
        <v>1125</v>
      </c>
      <c r="E93" s="20">
        <v>300</v>
      </c>
      <c r="F93" s="102">
        <v>118329.75</v>
      </c>
      <c r="G93" s="103">
        <f t="shared" si="1"/>
        <v>35498925</v>
      </c>
    </row>
    <row r="94" spans="1:7" x14ac:dyDescent="0.25">
      <c r="A94" s="37">
        <v>91</v>
      </c>
      <c r="B94" s="50" t="s">
        <v>1234</v>
      </c>
      <c r="C94" s="20"/>
      <c r="D94" s="20" t="s">
        <v>1125</v>
      </c>
      <c r="E94" s="20">
        <v>300</v>
      </c>
      <c r="F94" s="102">
        <v>118329.75</v>
      </c>
      <c r="G94" s="103">
        <f t="shared" si="1"/>
        <v>35498925</v>
      </c>
    </row>
    <row r="95" spans="1:7" x14ac:dyDescent="0.25">
      <c r="A95" s="37">
        <v>92</v>
      </c>
      <c r="B95" s="50" t="s">
        <v>1235</v>
      </c>
      <c r="C95" s="20"/>
      <c r="D95" s="20" t="s">
        <v>1125</v>
      </c>
      <c r="E95" s="20">
        <v>500</v>
      </c>
      <c r="F95" s="102">
        <v>118329.75</v>
      </c>
      <c r="G95" s="103">
        <f t="shared" si="1"/>
        <v>59164875</v>
      </c>
    </row>
    <row r="96" spans="1:7" x14ac:dyDescent="0.25">
      <c r="A96" s="37">
        <v>93</v>
      </c>
      <c r="B96" s="50" t="s">
        <v>1236</v>
      </c>
      <c r="C96" s="20"/>
      <c r="D96" s="20" t="s">
        <v>1125</v>
      </c>
      <c r="E96" s="20">
        <v>300</v>
      </c>
      <c r="F96" s="102">
        <v>118329.75</v>
      </c>
      <c r="G96" s="103">
        <f t="shared" si="1"/>
        <v>35498925</v>
      </c>
    </row>
    <row r="97" spans="1:7" ht="25.5" x14ac:dyDescent="0.25">
      <c r="A97" s="37">
        <v>94</v>
      </c>
      <c r="B97" s="50" t="s">
        <v>1237</v>
      </c>
      <c r="C97" s="20"/>
      <c r="D97" s="20"/>
      <c r="E97" s="20"/>
      <c r="F97" s="102">
        <v>57848.7</v>
      </c>
      <c r="G97" s="103">
        <f t="shared" si="1"/>
        <v>0</v>
      </c>
    </row>
    <row r="98" spans="1:7" x14ac:dyDescent="0.25">
      <c r="A98" s="37">
        <v>95</v>
      </c>
      <c r="B98" s="50" t="s">
        <v>1238</v>
      </c>
      <c r="C98" s="20"/>
      <c r="D98" s="20" t="s">
        <v>25</v>
      </c>
      <c r="E98" s="20">
        <v>700</v>
      </c>
      <c r="F98" s="102">
        <v>57848.7</v>
      </c>
      <c r="G98" s="103">
        <f t="shared" si="1"/>
        <v>40494090</v>
      </c>
    </row>
    <row r="99" spans="1:7" x14ac:dyDescent="0.25">
      <c r="A99" s="37">
        <v>96</v>
      </c>
      <c r="B99" s="50" t="s">
        <v>1239</v>
      </c>
      <c r="C99" s="20" t="s">
        <v>1056</v>
      </c>
      <c r="D99" s="20" t="s">
        <v>721</v>
      </c>
      <c r="E99" s="20"/>
      <c r="F99" s="102">
        <v>118329.75</v>
      </c>
      <c r="G99" s="103">
        <f t="shared" si="1"/>
        <v>0</v>
      </c>
    </row>
    <row r="100" spans="1:7" x14ac:dyDescent="0.25">
      <c r="A100" s="37">
        <v>97</v>
      </c>
      <c r="B100" s="50" t="s">
        <v>1240</v>
      </c>
      <c r="C100" s="20"/>
      <c r="D100" s="20" t="s">
        <v>25</v>
      </c>
      <c r="E100" s="20"/>
      <c r="F100" s="102">
        <v>27355.65</v>
      </c>
      <c r="G100" s="103">
        <f t="shared" si="1"/>
        <v>0</v>
      </c>
    </row>
    <row r="101" spans="1:7" x14ac:dyDescent="0.25">
      <c r="A101" s="37">
        <v>98</v>
      </c>
      <c r="B101" s="50" t="s">
        <v>1241</v>
      </c>
      <c r="C101" s="20"/>
      <c r="D101" s="20" t="s">
        <v>1134</v>
      </c>
      <c r="E101" s="20"/>
      <c r="F101" s="102">
        <v>22351.35</v>
      </c>
      <c r="G101" s="103">
        <f t="shared" si="1"/>
        <v>0</v>
      </c>
    </row>
    <row r="102" spans="1:7" x14ac:dyDescent="0.25">
      <c r="A102" s="37">
        <v>99</v>
      </c>
      <c r="B102" s="50" t="s">
        <v>1242</v>
      </c>
      <c r="C102" s="20"/>
      <c r="D102" s="20" t="s">
        <v>1163</v>
      </c>
      <c r="E102" s="20">
        <v>600</v>
      </c>
      <c r="F102" s="102">
        <v>22351.35</v>
      </c>
      <c r="G102" s="103">
        <f t="shared" si="1"/>
        <v>13410810</v>
      </c>
    </row>
    <row r="103" spans="1:7" x14ac:dyDescent="0.25">
      <c r="A103" s="37">
        <v>100</v>
      </c>
      <c r="B103" s="50" t="s">
        <v>1243</v>
      </c>
      <c r="C103" s="20"/>
      <c r="D103" s="20" t="s">
        <v>721</v>
      </c>
      <c r="E103" s="20"/>
      <c r="F103" s="102">
        <v>13860</v>
      </c>
      <c r="G103" s="103">
        <f t="shared" si="1"/>
        <v>0</v>
      </c>
    </row>
    <row r="104" spans="1:7" x14ac:dyDescent="0.25">
      <c r="A104" s="37">
        <v>101</v>
      </c>
      <c r="B104" s="50" t="s">
        <v>1244</v>
      </c>
      <c r="C104" s="20"/>
      <c r="D104" s="20" t="s">
        <v>25</v>
      </c>
      <c r="E104" s="20">
        <v>60</v>
      </c>
      <c r="F104" s="102">
        <v>42071.4</v>
      </c>
      <c r="G104" s="103">
        <f t="shared" si="1"/>
        <v>2524284</v>
      </c>
    </row>
    <row r="105" spans="1:7" x14ac:dyDescent="0.25">
      <c r="A105" s="37">
        <v>102</v>
      </c>
      <c r="B105" s="50" t="s">
        <v>1245</v>
      </c>
      <c r="C105" s="20"/>
      <c r="D105" s="20" t="s">
        <v>1134</v>
      </c>
      <c r="E105" s="20">
        <v>400</v>
      </c>
      <c r="F105" s="102">
        <v>36815.1</v>
      </c>
      <c r="G105" s="103">
        <f t="shared" si="1"/>
        <v>14726040</v>
      </c>
    </row>
    <row r="106" spans="1:7" x14ac:dyDescent="0.25">
      <c r="A106" s="37">
        <v>103</v>
      </c>
      <c r="B106" s="50" t="s">
        <v>1246</v>
      </c>
      <c r="C106" s="13"/>
      <c r="D106" s="13"/>
      <c r="E106" s="13"/>
      <c r="F106" s="102">
        <v>22978.305</v>
      </c>
      <c r="G106" s="103">
        <f t="shared" si="1"/>
        <v>0</v>
      </c>
    </row>
    <row r="107" spans="1:7" ht="26.25" x14ac:dyDescent="0.25">
      <c r="A107" s="37">
        <v>104</v>
      </c>
      <c r="B107" s="4" t="s">
        <v>1247</v>
      </c>
      <c r="C107" s="1" t="s">
        <v>1248</v>
      </c>
      <c r="D107" s="5" t="s">
        <v>14</v>
      </c>
      <c r="E107" s="1"/>
      <c r="F107" s="102">
        <v>15319.237499999999</v>
      </c>
      <c r="G107" s="103">
        <f t="shared" si="1"/>
        <v>0</v>
      </c>
    </row>
    <row r="108" spans="1:7" ht="39" x14ac:dyDescent="0.25">
      <c r="A108" s="37">
        <v>105</v>
      </c>
      <c r="B108" s="4" t="s">
        <v>1249</v>
      </c>
      <c r="C108" s="1" t="s">
        <v>1248</v>
      </c>
      <c r="D108" s="5" t="s">
        <v>1250</v>
      </c>
      <c r="E108" s="1"/>
      <c r="F108" s="102">
        <v>17616.8475</v>
      </c>
      <c r="G108" s="103">
        <f t="shared" si="1"/>
        <v>0</v>
      </c>
    </row>
    <row r="109" spans="1:7" ht="39" x14ac:dyDescent="0.25">
      <c r="A109" s="37">
        <v>106</v>
      </c>
      <c r="B109" s="4" t="s">
        <v>1251</v>
      </c>
      <c r="C109" s="1" t="s">
        <v>1248</v>
      </c>
      <c r="D109" s="5" t="s">
        <v>1252</v>
      </c>
      <c r="E109" s="1"/>
      <c r="F109" s="102">
        <v>17616.8475</v>
      </c>
      <c r="G109" s="103">
        <f t="shared" si="1"/>
        <v>0</v>
      </c>
    </row>
    <row r="110" spans="1:7" ht="15.75" thickBot="1" x14ac:dyDescent="0.3">
      <c r="A110" s="51">
        <v>107</v>
      </c>
      <c r="B110" s="53" t="s">
        <v>1200</v>
      </c>
      <c r="C110" s="53" t="s">
        <v>1248</v>
      </c>
      <c r="D110" s="54" t="s">
        <v>721</v>
      </c>
      <c r="E110" s="54">
        <v>200</v>
      </c>
      <c r="F110" s="104">
        <v>210</v>
      </c>
      <c r="G110" s="105">
        <f t="shared" si="1"/>
        <v>42000</v>
      </c>
    </row>
    <row r="111" spans="1:7" x14ac:dyDescent="0.25">
      <c r="A111" s="60"/>
      <c r="B111" s="61" t="s">
        <v>158</v>
      </c>
      <c r="C111" s="61" t="s">
        <v>1248</v>
      </c>
      <c r="D111" s="61" t="s">
        <v>1248</v>
      </c>
      <c r="E111" s="61" t="s">
        <v>1248</v>
      </c>
      <c r="F111" s="106"/>
      <c r="G111" s="107">
        <f>SUM(G4:G110)</f>
        <v>1212498399</v>
      </c>
    </row>
    <row r="112" spans="1:7" x14ac:dyDescent="0.25">
      <c r="A112" s="62"/>
      <c r="B112" s="63" t="s">
        <v>159</v>
      </c>
      <c r="C112" s="63"/>
      <c r="D112" s="63"/>
      <c r="E112" s="63" t="s">
        <v>1248</v>
      </c>
      <c r="F112" s="108"/>
      <c r="G112" s="109">
        <f>+G111*0.16</f>
        <v>193999743.84</v>
      </c>
    </row>
    <row r="113" spans="1:7" ht="15.75" thickBot="1" x14ac:dyDescent="0.3">
      <c r="A113" s="64"/>
      <c r="B113" s="65" t="s">
        <v>160</v>
      </c>
      <c r="C113" s="65" t="s">
        <v>1248</v>
      </c>
      <c r="D113" s="65" t="s">
        <v>1248</v>
      </c>
      <c r="E113" s="65" t="s">
        <v>1248</v>
      </c>
      <c r="F113" s="110"/>
      <c r="G113" s="111">
        <f>SUM(G111:G112)</f>
        <v>1406498142.8399999</v>
      </c>
    </row>
    <row r="114" spans="1:7" ht="15.75" thickBot="1" x14ac:dyDescent="0.3">
      <c r="A114" s="22"/>
      <c r="B114" s="22"/>
      <c r="C114" s="22"/>
      <c r="D114" s="22"/>
      <c r="E114" s="22"/>
      <c r="F114" s="22"/>
      <c r="G114" s="22"/>
    </row>
    <row r="115" spans="1:7" ht="15.75" thickBot="1" x14ac:dyDescent="0.3">
      <c r="A115" s="22"/>
      <c r="B115" s="22"/>
      <c r="C115" s="22"/>
      <c r="D115" s="66"/>
      <c r="E115" s="52" t="s">
        <v>161</v>
      </c>
      <c r="F115" s="67"/>
      <c r="G115" s="112">
        <f>SUM(G113)</f>
        <v>1406498142.8399999</v>
      </c>
    </row>
  </sheetData>
  <mergeCells count="1">
    <mergeCell ref="A1:G2"/>
  </mergeCells>
  <pageMargins left="0.7" right="0.7" top="0.75" bottom="1.78" header="0.3" footer="1.37"/>
  <pageSetup paperSize="5" scale="80" orientation="portrait" r:id="rId1"/>
  <headerFooter>
    <oddFooter xml:space="preserve">&amp;C124
</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tabColor rgb="FF00B0F0"/>
  </sheetPr>
  <dimension ref="B3:G129"/>
  <sheetViews>
    <sheetView view="pageLayout" zoomScaleNormal="100" workbookViewId="0">
      <selection activeCell="B3" sqref="B3:G94"/>
    </sheetView>
  </sheetViews>
  <sheetFormatPr baseColWidth="10" defaultRowHeight="14.25" x14ac:dyDescent="0.2"/>
  <cols>
    <col min="1" max="1" width="11.42578125" style="767"/>
    <col min="2" max="2" width="5" style="767" customWidth="1"/>
    <col min="3" max="3" width="34.28515625" style="767" customWidth="1"/>
    <col min="4" max="4" width="17.7109375" style="767" customWidth="1"/>
    <col min="5" max="16384" width="11.42578125" style="767"/>
  </cols>
  <sheetData>
    <row r="3" spans="2:7" x14ac:dyDescent="0.2">
      <c r="B3" s="914" t="s">
        <v>232</v>
      </c>
      <c r="C3" s="914"/>
      <c r="D3" s="914"/>
      <c r="E3" s="914"/>
      <c r="F3" s="914"/>
      <c r="G3" s="914"/>
    </row>
    <row r="4" spans="2:7" s="768" customFormat="1" x14ac:dyDescent="0.2">
      <c r="B4" s="944" t="s">
        <v>1431</v>
      </c>
      <c r="C4" s="944"/>
      <c r="D4" s="944"/>
      <c r="E4" s="944"/>
      <c r="F4" s="944"/>
      <c r="G4" s="944"/>
    </row>
    <row r="5" spans="2:7" x14ac:dyDescent="0.2">
      <c r="B5" s="748" t="s">
        <v>233</v>
      </c>
      <c r="C5" s="748" t="s">
        <v>374</v>
      </c>
      <c r="D5" s="748" t="s">
        <v>714</v>
      </c>
      <c r="E5" s="748" t="s">
        <v>162</v>
      </c>
      <c r="F5" s="748" t="s">
        <v>285</v>
      </c>
      <c r="G5" s="748" t="s">
        <v>164</v>
      </c>
    </row>
    <row r="6" spans="2:7" x14ac:dyDescent="0.2">
      <c r="B6" s="230">
        <v>1</v>
      </c>
      <c r="C6" s="280" t="s">
        <v>1253</v>
      </c>
      <c r="D6" s="280" t="s">
        <v>1254</v>
      </c>
      <c r="E6" s="281">
        <v>10</v>
      </c>
      <c r="F6" s="281">
        <v>210000</v>
      </c>
      <c r="G6" s="281">
        <f>E6*F6</f>
        <v>2100000</v>
      </c>
    </row>
    <row r="7" spans="2:7" x14ac:dyDescent="0.2">
      <c r="B7" s="230">
        <v>2</v>
      </c>
      <c r="C7" s="280" t="s">
        <v>1697</v>
      </c>
      <c r="D7" s="280" t="s">
        <v>1698</v>
      </c>
      <c r="E7" s="281">
        <v>25</v>
      </c>
      <c r="F7" s="281">
        <v>160000</v>
      </c>
      <c r="G7" s="281">
        <f t="shared" ref="G7:G70" si="0">E7*F7</f>
        <v>4000000</v>
      </c>
    </row>
    <row r="8" spans="2:7" x14ac:dyDescent="0.2">
      <c r="B8" s="230">
        <v>3</v>
      </c>
      <c r="C8" s="280" t="s">
        <v>1255</v>
      </c>
      <c r="D8" s="280" t="s">
        <v>1256</v>
      </c>
      <c r="E8" s="281">
        <v>400</v>
      </c>
      <c r="F8" s="281">
        <v>33500</v>
      </c>
      <c r="G8" s="281">
        <f t="shared" si="0"/>
        <v>13400000</v>
      </c>
    </row>
    <row r="9" spans="2:7" x14ac:dyDescent="0.2">
      <c r="B9" s="230">
        <v>4</v>
      </c>
      <c r="C9" s="280" t="s">
        <v>1257</v>
      </c>
      <c r="D9" s="280" t="s">
        <v>1256</v>
      </c>
      <c r="E9" s="281">
        <v>40</v>
      </c>
      <c r="F9" s="281"/>
      <c r="G9" s="281">
        <f t="shared" si="0"/>
        <v>0</v>
      </c>
    </row>
    <row r="10" spans="2:7" x14ac:dyDescent="0.2">
      <c r="B10" s="230">
        <v>5</v>
      </c>
      <c r="C10" s="280" t="s">
        <v>1258</v>
      </c>
      <c r="D10" s="280" t="s">
        <v>1699</v>
      </c>
      <c r="E10" s="281">
        <v>150</v>
      </c>
      <c r="F10" s="281">
        <v>22600</v>
      </c>
      <c r="G10" s="281">
        <f t="shared" si="0"/>
        <v>3390000</v>
      </c>
    </row>
    <row r="11" spans="2:7" x14ac:dyDescent="0.2">
      <c r="B11" s="230">
        <v>6</v>
      </c>
      <c r="C11" s="280" t="s">
        <v>1260</v>
      </c>
      <c r="D11" s="280" t="s">
        <v>1261</v>
      </c>
      <c r="E11" s="281">
        <v>80</v>
      </c>
      <c r="F11" s="281">
        <v>23600</v>
      </c>
      <c r="G11" s="281">
        <f t="shared" si="0"/>
        <v>1888000</v>
      </c>
    </row>
    <row r="12" spans="2:7" x14ac:dyDescent="0.2">
      <c r="B12" s="230">
        <v>7</v>
      </c>
      <c r="C12" s="280" t="s">
        <v>1262</v>
      </c>
      <c r="D12" s="280" t="s">
        <v>1261</v>
      </c>
      <c r="E12" s="281">
        <v>50</v>
      </c>
      <c r="F12" s="281">
        <v>8950</v>
      </c>
      <c r="G12" s="281">
        <f t="shared" si="0"/>
        <v>447500</v>
      </c>
    </row>
    <row r="13" spans="2:7" x14ac:dyDescent="0.2">
      <c r="B13" s="230">
        <v>8</v>
      </c>
      <c r="C13" s="280" t="s">
        <v>1263</v>
      </c>
      <c r="D13" s="280" t="s">
        <v>1261</v>
      </c>
      <c r="E13" s="281">
        <v>80</v>
      </c>
      <c r="F13" s="281">
        <v>17000</v>
      </c>
      <c r="G13" s="281">
        <f t="shared" si="0"/>
        <v>1360000</v>
      </c>
    </row>
    <row r="14" spans="2:7" x14ac:dyDescent="0.2">
      <c r="B14" s="230">
        <v>9</v>
      </c>
      <c r="C14" s="280" t="s">
        <v>1264</v>
      </c>
      <c r="D14" s="280" t="s">
        <v>1265</v>
      </c>
      <c r="E14" s="281">
        <v>200</v>
      </c>
      <c r="F14" s="281"/>
      <c r="G14" s="281">
        <f t="shared" si="0"/>
        <v>0</v>
      </c>
    </row>
    <row r="15" spans="2:7" x14ac:dyDescent="0.2">
      <c r="B15" s="230">
        <v>10</v>
      </c>
      <c r="C15" s="280" t="s">
        <v>1266</v>
      </c>
      <c r="D15" s="280" t="s">
        <v>441</v>
      </c>
      <c r="E15" s="281">
        <v>80</v>
      </c>
      <c r="F15" s="281">
        <v>10000</v>
      </c>
      <c r="G15" s="281">
        <f t="shared" si="0"/>
        <v>800000</v>
      </c>
    </row>
    <row r="16" spans="2:7" x14ac:dyDescent="0.2">
      <c r="B16" s="230">
        <v>11</v>
      </c>
      <c r="C16" s="280" t="s">
        <v>1267</v>
      </c>
      <c r="D16" s="280" t="s">
        <v>441</v>
      </c>
      <c r="E16" s="281">
        <v>80</v>
      </c>
      <c r="F16" s="281">
        <v>10000</v>
      </c>
      <c r="G16" s="281">
        <f t="shared" si="0"/>
        <v>800000</v>
      </c>
    </row>
    <row r="17" spans="2:7" x14ac:dyDescent="0.2">
      <c r="B17" s="230">
        <v>12</v>
      </c>
      <c r="C17" s="280" t="s">
        <v>1268</v>
      </c>
      <c r="D17" s="280" t="s">
        <v>441</v>
      </c>
      <c r="E17" s="281">
        <v>10</v>
      </c>
      <c r="F17" s="281">
        <v>160000</v>
      </c>
      <c r="G17" s="281">
        <f t="shared" si="0"/>
        <v>1600000</v>
      </c>
    </row>
    <row r="18" spans="2:7" x14ac:dyDescent="0.2">
      <c r="B18" s="230">
        <v>13</v>
      </c>
      <c r="C18" s="280" t="s">
        <v>1269</v>
      </c>
      <c r="D18" s="280" t="s">
        <v>441</v>
      </c>
      <c r="E18" s="281">
        <v>80</v>
      </c>
      <c r="F18" s="281">
        <v>18000</v>
      </c>
      <c r="G18" s="281">
        <f t="shared" si="0"/>
        <v>1440000</v>
      </c>
    </row>
    <row r="19" spans="2:7" x14ac:dyDescent="0.2">
      <c r="B19" s="230">
        <v>14</v>
      </c>
      <c r="C19" s="280" t="s">
        <v>1271</v>
      </c>
      <c r="D19" s="280" t="s">
        <v>1700</v>
      </c>
      <c r="E19" s="281">
        <v>20</v>
      </c>
      <c r="F19" s="281">
        <v>22700</v>
      </c>
      <c r="G19" s="281">
        <f t="shared" si="0"/>
        <v>454000</v>
      </c>
    </row>
    <row r="20" spans="2:7" x14ac:dyDescent="0.2">
      <c r="B20" s="230">
        <v>15</v>
      </c>
      <c r="C20" s="280" t="s">
        <v>1272</v>
      </c>
      <c r="D20" s="280" t="s">
        <v>1270</v>
      </c>
      <c r="E20" s="281">
        <v>80</v>
      </c>
      <c r="F20" s="281">
        <v>16000</v>
      </c>
      <c r="G20" s="281">
        <f t="shared" si="0"/>
        <v>1280000</v>
      </c>
    </row>
    <row r="21" spans="2:7" x14ac:dyDescent="0.2">
      <c r="B21" s="230">
        <v>16</v>
      </c>
      <c r="C21" s="280" t="s">
        <v>1273</v>
      </c>
      <c r="D21" s="280" t="s">
        <v>1274</v>
      </c>
      <c r="E21" s="281">
        <v>50</v>
      </c>
      <c r="F21" s="281">
        <v>10500</v>
      </c>
      <c r="G21" s="281">
        <f t="shared" si="0"/>
        <v>525000</v>
      </c>
    </row>
    <row r="22" spans="2:7" x14ac:dyDescent="0.2">
      <c r="B22" s="230">
        <v>17</v>
      </c>
      <c r="C22" s="280" t="s">
        <v>1717</v>
      </c>
      <c r="D22" s="280" t="s">
        <v>1718</v>
      </c>
      <c r="E22" s="281">
        <v>25</v>
      </c>
      <c r="F22" s="281"/>
      <c r="G22" s="281">
        <f t="shared" si="0"/>
        <v>0</v>
      </c>
    </row>
    <row r="23" spans="2:7" x14ac:dyDescent="0.2">
      <c r="B23" s="230">
        <v>18</v>
      </c>
      <c r="C23" s="280" t="s">
        <v>1701</v>
      </c>
      <c r="D23" s="280" t="s">
        <v>1276</v>
      </c>
      <c r="E23" s="281">
        <v>20</v>
      </c>
      <c r="F23" s="281">
        <v>6800</v>
      </c>
      <c r="G23" s="281">
        <f t="shared" si="0"/>
        <v>136000</v>
      </c>
    </row>
    <row r="24" spans="2:7" x14ac:dyDescent="0.2">
      <c r="B24" s="230">
        <v>19</v>
      </c>
      <c r="C24" s="280" t="s">
        <v>1277</v>
      </c>
      <c r="D24" s="280" t="s">
        <v>441</v>
      </c>
      <c r="E24" s="281">
        <v>10</v>
      </c>
      <c r="F24" s="281">
        <v>4000</v>
      </c>
      <c r="G24" s="281">
        <f t="shared" si="0"/>
        <v>40000</v>
      </c>
    </row>
    <row r="25" spans="2:7" x14ac:dyDescent="0.2">
      <c r="B25" s="230">
        <v>20</v>
      </c>
      <c r="C25" s="280" t="s">
        <v>1278</v>
      </c>
      <c r="D25" s="280" t="s">
        <v>441</v>
      </c>
      <c r="E25" s="281">
        <v>150</v>
      </c>
      <c r="F25" s="281"/>
      <c r="G25" s="281">
        <f t="shared" si="0"/>
        <v>0</v>
      </c>
    </row>
    <row r="26" spans="2:7" x14ac:dyDescent="0.2">
      <c r="B26" s="230">
        <v>21</v>
      </c>
      <c r="C26" s="280" t="s">
        <v>1279</v>
      </c>
      <c r="D26" s="280" t="s">
        <v>1290</v>
      </c>
      <c r="E26" s="281">
        <v>12</v>
      </c>
      <c r="F26" s="281"/>
      <c r="G26" s="281">
        <f t="shared" si="0"/>
        <v>0</v>
      </c>
    </row>
    <row r="27" spans="2:7" x14ac:dyDescent="0.2">
      <c r="B27" s="230">
        <v>22</v>
      </c>
      <c r="C27" s="280" t="s">
        <v>1280</v>
      </c>
      <c r="D27" s="280" t="s">
        <v>1281</v>
      </c>
      <c r="E27" s="281">
        <v>50</v>
      </c>
      <c r="F27" s="281">
        <v>95000</v>
      </c>
      <c r="G27" s="281">
        <f t="shared" si="0"/>
        <v>4750000</v>
      </c>
    </row>
    <row r="28" spans="2:7" x14ac:dyDescent="0.2">
      <c r="B28" s="230">
        <v>23</v>
      </c>
      <c r="C28" s="280" t="s">
        <v>1282</v>
      </c>
      <c r="D28" s="280" t="s">
        <v>1283</v>
      </c>
      <c r="E28" s="281">
        <v>100</v>
      </c>
      <c r="F28" s="281">
        <v>50000</v>
      </c>
      <c r="G28" s="281">
        <f t="shared" si="0"/>
        <v>5000000</v>
      </c>
    </row>
    <row r="29" spans="2:7" x14ac:dyDescent="0.2">
      <c r="B29" s="230">
        <v>24</v>
      </c>
      <c r="C29" s="280" t="s">
        <v>1285</v>
      </c>
      <c r="D29" s="280" t="s">
        <v>1284</v>
      </c>
      <c r="E29" s="281">
        <v>50</v>
      </c>
      <c r="F29" s="281"/>
      <c r="G29" s="281">
        <f t="shared" si="0"/>
        <v>0</v>
      </c>
    </row>
    <row r="30" spans="2:7" x14ac:dyDescent="0.2">
      <c r="B30" s="230">
        <v>25</v>
      </c>
      <c r="C30" s="280" t="s">
        <v>1286</v>
      </c>
      <c r="D30" s="280" t="s">
        <v>1287</v>
      </c>
      <c r="E30" s="281">
        <v>12</v>
      </c>
      <c r="F30" s="281"/>
      <c r="G30" s="281">
        <f t="shared" si="0"/>
        <v>0</v>
      </c>
    </row>
    <row r="31" spans="2:7" x14ac:dyDescent="0.2">
      <c r="B31" s="230">
        <v>26</v>
      </c>
      <c r="C31" s="280" t="s">
        <v>1288</v>
      </c>
      <c r="D31" s="280" t="s">
        <v>1287</v>
      </c>
      <c r="E31" s="281">
        <v>12</v>
      </c>
      <c r="F31" s="281"/>
      <c r="G31" s="281">
        <f t="shared" si="0"/>
        <v>0</v>
      </c>
    </row>
    <row r="32" spans="2:7" x14ac:dyDescent="0.2">
      <c r="B32" s="230">
        <v>27</v>
      </c>
      <c r="C32" s="280" t="s">
        <v>1702</v>
      </c>
      <c r="D32" s="280" t="s">
        <v>1703</v>
      </c>
      <c r="E32" s="281">
        <v>150</v>
      </c>
      <c r="F32" s="281">
        <v>45000</v>
      </c>
      <c r="G32" s="281">
        <f t="shared" si="0"/>
        <v>6750000</v>
      </c>
    </row>
    <row r="33" spans="2:7" x14ac:dyDescent="0.2">
      <c r="B33" s="230">
        <v>28</v>
      </c>
      <c r="C33" s="280" t="s">
        <v>1289</v>
      </c>
      <c r="D33" s="280" t="s">
        <v>1275</v>
      </c>
      <c r="E33" s="281"/>
      <c r="F33" s="281"/>
      <c r="G33" s="281">
        <f t="shared" si="0"/>
        <v>0</v>
      </c>
    </row>
    <row r="34" spans="2:7" x14ac:dyDescent="0.2">
      <c r="B34" s="230">
        <v>29</v>
      </c>
      <c r="C34" s="280" t="s">
        <v>1291</v>
      </c>
      <c r="D34" s="280" t="s">
        <v>1290</v>
      </c>
      <c r="E34" s="281">
        <v>380</v>
      </c>
      <c r="F34" s="281">
        <v>37000</v>
      </c>
      <c r="G34" s="281">
        <f t="shared" si="0"/>
        <v>14060000</v>
      </c>
    </row>
    <row r="35" spans="2:7" x14ac:dyDescent="0.2">
      <c r="B35" s="230">
        <v>30</v>
      </c>
      <c r="C35" s="280" t="s">
        <v>1292</v>
      </c>
      <c r="D35" s="280" t="s">
        <v>1259</v>
      </c>
      <c r="E35" s="281">
        <v>150</v>
      </c>
      <c r="F35" s="281">
        <v>54000</v>
      </c>
      <c r="G35" s="281">
        <f t="shared" si="0"/>
        <v>8100000</v>
      </c>
    </row>
    <row r="36" spans="2:7" x14ac:dyDescent="0.2">
      <c r="B36" s="230">
        <v>31</v>
      </c>
      <c r="C36" s="280" t="s">
        <v>1293</v>
      </c>
      <c r="D36" s="280" t="s">
        <v>1281</v>
      </c>
      <c r="E36" s="281">
        <v>80</v>
      </c>
      <c r="F36" s="281">
        <v>13100</v>
      </c>
      <c r="G36" s="281">
        <f t="shared" si="0"/>
        <v>1048000</v>
      </c>
    </row>
    <row r="37" spans="2:7" x14ac:dyDescent="0.2">
      <c r="B37" s="230">
        <v>32</v>
      </c>
      <c r="C37" s="280" t="s">
        <v>1294</v>
      </c>
      <c r="D37" s="280" t="s">
        <v>1281</v>
      </c>
      <c r="E37" s="281">
        <v>80</v>
      </c>
      <c r="F37" s="281">
        <v>24700</v>
      </c>
      <c r="G37" s="281">
        <f t="shared" si="0"/>
        <v>1976000</v>
      </c>
    </row>
    <row r="38" spans="2:7" x14ac:dyDescent="0.2">
      <c r="B38" s="230">
        <v>33</v>
      </c>
      <c r="C38" s="280" t="s">
        <v>1295</v>
      </c>
      <c r="D38" s="280" t="s">
        <v>441</v>
      </c>
      <c r="E38" s="281">
        <v>50</v>
      </c>
      <c r="F38" s="281">
        <v>20400</v>
      </c>
      <c r="G38" s="281">
        <f t="shared" si="0"/>
        <v>1020000</v>
      </c>
    </row>
    <row r="39" spans="2:7" x14ac:dyDescent="0.2">
      <c r="B39" s="230">
        <v>34</v>
      </c>
      <c r="C39" s="280" t="s">
        <v>1296</v>
      </c>
      <c r="D39" s="280" t="s">
        <v>441</v>
      </c>
      <c r="E39" s="281">
        <v>50</v>
      </c>
      <c r="F39" s="281">
        <v>19000</v>
      </c>
      <c r="G39" s="281">
        <f t="shared" si="0"/>
        <v>950000</v>
      </c>
    </row>
    <row r="40" spans="2:7" x14ac:dyDescent="0.2">
      <c r="B40" s="230">
        <v>35</v>
      </c>
      <c r="C40" s="280" t="s">
        <v>1297</v>
      </c>
      <c r="D40" s="280" t="s">
        <v>441</v>
      </c>
      <c r="E40" s="281">
        <v>50</v>
      </c>
      <c r="F40" s="281">
        <v>8900</v>
      </c>
      <c r="G40" s="281">
        <f t="shared" si="0"/>
        <v>445000</v>
      </c>
    </row>
    <row r="41" spans="2:7" x14ac:dyDescent="0.2">
      <c r="B41" s="230">
        <v>36</v>
      </c>
      <c r="C41" s="280" t="s">
        <v>1298</v>
      </c>
      <c r="D41" s="280" t="s">
        <v>1299</v>
      </c>
      <c r="E41" s="281">
        <v>50</v>
      </c>
      <c r="F41" s="281">
        <v>64000</v>
      </c>
      <c r="G41" s="281">
        <f t="shared" si="0"/>
        <v>3200000</v>
      </c>
    </row>
    <row r="42" spans="2:7" x14ac:dyDescent="0.2">
      <c r="B42" s="230">
        <v>37</v>
      </c>
      <c r="C42" s="280" t="s">
        <v>1300</v>
      </c>
      <c r="D42" s="280" t="s">
        <v>1301</v>
      </c>
      <c r="E42" s="281">
        <v>300</v>
      </c>
      <c r="F42" s="281"/>
      <c r="G42" s="281">
        <f t="shared" si="0"/>
        <v>0</v>
      </c>
    </row>
    <row r="43" spans="2:7" x14ac:dyDescent="0.2">
      <c r="B43" s="230">
        <v>38</v>
      </c>
      <c r="C43" s="280" t="s">
        <v>1302</v>
      </c>
      <c r="D43" s="280" t="s">
        <v>1303</v>
      </c>
      <c r="E43" s="281">
        <v>300</v>
      </c>
      <c r="F43" s="281"/>
      <c r="G43" s="281">
        <f t="shared" si="0"/>
        <v>0</v>
      </c>
    </row>
    <row r="44" spans="2:7" x14ac:dyDescent="0.2">
      <c r="B44" s="230">
        <v>39</v>
      </c>
      <c r="C44" s="280" t="s">
        <v>1304</v>
      </c>
      <c r="D44" s="280" t="s">
        <v>1305</v>
      </c>
      <c r="E44" s="281">
        <v>1000</v>
      </c>
      <c r="F44" s="281"/>
      <c r="G44" s="281">
        <f t="shared" si="0"/>
        <v>0</v>
      </c>
    </row>
    <row r="45" spans="2:7" x14ac:dyDescent="0.2">
      <c r="B45" s="230">
        <v>40</v>
      </c>
      <c r="C45" s="280" t="s">
        <v>1306</v>
      </c>
      <c r="D45" s="280" t="s">
        <v>441</v>
      </c>
      <c r="E45" s="281">
        <v>1000</v>
      </c>
      <c r="F45" s="281"/>
      <c r="G45" s="281">
        <f t="shared" si="0"/>
        <v>0</v>
      </c>
    </row>
    <row r="46" spans="2:7" x14ac:dyDescent="0.2">
      <c r="B46" s="230">
        <v>41</v>
      </c>
      <c r="C46" s="280" t="s">
        <v>1307</v>
      </c>
      <c r="D46" s="280" t="s">
        <v>441</v>
      </c>
      <c r="E46" s="281">
        <v>6</v>
      </c>
      <c r="F46" s="281"/>
      <c r="G46" s="281">
        <f t="shared" si="0"/>
        <v>0</v>
      </c>
    </row>
    <row r="47" spans="2:7" x14ac:dyDescent="0.2">
      <c r="B47" s="230">
        <v>42</v>
      </c>
      <c r="C47" s="280" t="s">
        <v>1308</v>
      </c>
      <c r="D47" s="280" t="s">
        <v>1259</v>
      </c>
      <c r="E47" s="281">
        <v>24</v>
      </c>
      <c r="F47" s="281"/>
      <c r="G47" s="281">
        <f t="shared" si="0"/>
        <v>0</v>
      </c>
    </row>
    <row r="48" spans="2:7" x14ac:dyDescent="0.2">
      <c r="B48" s="230">
        <v>43</v>
      </c>
      <c r="C48" s="280" t="s">
        <v>1309</v>
      </c>
      <c r="D48" s="280" t="s">
        <v>1256</v>
      </c>
      <c r="E48" s="281">
        <v>500</v>
      </c>
      <c r="F48" s="281"/>
      <c r="G48" s="281">
        <f t="shared" si="0"/>
        <v>0</v>
      </c>
    </row>
    <row r="49" spans="2:7" x14ac:dyDescent="0.2">
      <c r="B49" s="230">
        <v>44</v>
      </c>
      <c r="C49" s="280" t="s">
        <v>1310</v>
      </c>
      <c r="D49" s="280" t="s">
        <v>1256</v>
      </c>
      <c r="E49" s="281">
        <v>500</v>
      </c>
      <c r="F49" s="281"/>
      <c r="G49" s="281">
        <f t="shared" si="0"/>
        <v>0</v>
      </c>
    </row>
    <row r="50" spans="2:7" x14ac:dyDescent="0.2">
      <c r="B50" s="230">
        <v>45</v>
      </c>
      <c r="C50" s="280" t="s">
        <v>1311</v>
      </c>
      <c r="D50" s="280" t="s">
        <v>1256</v>
      </c>
      <c r="E50" s="281">
        <v>300</v>
      </c>
      <c r="F50" s="281"/>
      <c r="G50" s="281">
        <f t="shared" si="0"/>
        <v>0</v>
      </c>
    </row>
    <row r="51" spans="2:7" x14ac:dyDescent="0.2">
      <c r="B51" s="230">
        <v>46</v>
      </c>
      <c r="C51" s="280" t="s">
        <v>1312</v>
      </c>
      <c r="D51" s="280" t="s">
        <v>1313</v>
      </c>
      <c r="E51" s="281">
        <v>15</v>
      </c>
      <c r="F51" s="281"/>
      <c r="G51" s="281">
        <f t="shared" si="0"/>
        <v>0</v>
      </c>
    </row>
    <row r="52" spans="2:7" x14ac:dyDescent="0.2">
      <c r="B52" s="230">
        <v>47</v>
      </c>
      <c r="C52" s="280" t="s">
        <v>1314</v>
      </c>
      <c r="D52" s="280" t="s">
        <v>1315</v>
      </c>
      <c r="E52" s="281">
        <v>750</v>
      </c>
      <c r="F52" s="281">
        <v>4000</v>
      </c>
      <c r="G52" s="281">
        <f t="shared" si="0"/>
        <v>3000000</v>
      </c>
    </row>
    <row r="53" spans="2:7" x14ac:dyDescent="0.2">
      <c r="B53" s="230">
        <v>48</v>
      </c>
      <c r="C53" s="280" t="s">
        <v>1316</v>
      </c>
      <c r="D53" s="280" t="s">
        <v>1303</v>
      </c>
      <c r="E53" s="281">
        <v>6</v>
      </c>
      <c r="F53" s="281">
        <v>29500</v>
      </c>
      <c r="G53" s="281">
        <f t="shared" si="0"/>
        <v>177000</v>
      </c>
    </row>
    <row r="54" spans="2:7" x14ac:dyDescent="0.2">
      <c r="B54" s="230">
        <v>49</v>
      </c>
      <c r="C54" s="280" t="s">
        <v>1317</v>
      </c>
      <c r="D54" s="280" t="s">
        <v>441</v>
      </c>
      <c r="E54" s="281">
        <v>6</v>
      </c>
      <c r="F54" s="281"/>
      <c r="G54" s="281">
        <f t="shared" si="0"/>
        <v>0</v>
      </c>
    </row>
    <row r="55" spans="2:7" x14ac:dyDescent="0.2">
      <c r="B55" s="230">
        <v>50</v>
      </c>
      <c r="C55" s="280" t="s">
        <v>1318</v>
      </c>
      <c r="D55" s="280" t="s">
        <v>1305</v>
      </c>
      <c r="E55" s="281">
        <v>750</v>
      </c>
      <c r="F55" s="281">
        <v>4000</v>
      </c>
      <c r="G55" s="281">
        <f t="shared" si="0"/>
        <v>3000000</v>
      </c>
    </row>
    <row r="56" spans="2:7" x14ac:dyDescent="0.2">
      <c r="B56" s="230">
        <v>51</v>
      </c>
      <c r="C56" s="280" t="s">
        <v>1319</v>
      </c>
      <c r="D56" s="280" t="s">
        <v>1281</v>
      </c>
      <c r="E56" s="281">
        <v>80</v>
      </c>
      <c r="F56" s="281">
        <v>15800</v>
      </c>
      <c r="G56" s="281">
        <f t="shared" si="0"/>
        <v>1264000</v>
      </c>
    </row>
    <row r="57" spans="2:7" x14ac:dyDescent="0.2">
      <c r="B57" s="230">
        <v>52</v>
      </c>
      <c r="C57" s="280" t="s">
        <v>1320</v>
      </c>
      <c r="D57" s="280" t="s">
        <v>1281</v>
      </c>
      <c r="E57" s="281">
        <v>40</v>
      </c>
      <c r="F57" s="281">
        <v>26300</v>
      </c>
      <c r="G57" s="281">
        <f t="shared" si="0"/>
        <v>1052000</v>
      </c>
    </row>
    <row r="58" spans="2:7" x14ac:dyDescent="0.2">
      <c r="B58" s="230">
        <v>53</v>
      </c>
      <c r="C58" s="280" t="s">
        <v>1321</v>
      </c>
      <c r="D58" s="280" t="s">
        <v>441</v>
      </c>
      <c r="E58" s="281">
        <v>10</v>
      </c>
      <c r="F58" s="281"/>
      <c r="G58" s="281">
        <f t="shared" si="0"/>
        <v>0</v>
      </c>
    </row>
    <row r="59" spans="2:7" x14ac:dyDescent="0.2">
      <c r="B59" s="230">
        <v>54</v>
      </c>
      <c r="C59" s="280" t="s">
        <v>1704</v>
      </c>
      <c r="D59" s="280" t="s">
        <v>1705</v>
      </c>
      <c r="E59" s="281">
        <v>80</v>
      </c>
      <c r="F59" s="281">
        <v>5500</v>
      </c>
      <c r="G59" s="281">
        <f t="shared" si="0"/>
        <v>440000</v>
      </c>
    </row>
    <row r="60" spans="2:7" x14ac:dyDescent="0.2">
      <c r="B60" s="230">
        <v>55</v>
      </c>
      <c r="C60" s="280" t="s">
        <v>1706</v>
      </c>
      <c r="D60" s="280" t="s">
        <v>1707</v>
      </c>
      <c r="E60" s="281">
        <v>300</v>
      </c>
      <c r="F60" s="281">
        <v>20000</v>
      </c>
      <c r="G60" s="281">
        <f t="shared" si="0"/>
        <v>6000000</v>
      </c>
    </row>
    <row r="61" spans="2:7" x14ac:dyDescent="0.2">
      <c r="B61" s="230">
        <v>56</v>
      </c>
      <c r="C61" s="280" t="s">
        <v>1708</v>
      </c>
      <c r="D61" s="280" t="s">
        <v>1299</v>
      </c>
      <c r="E61" s="281">
        <v>200</v>
      </c>
      <c r="F61" s="281"/>
      <c r="G61" s="281">
        <f t="shared" si="0"/>
        <v>0</v>
      </c>
    </row>
    <row r="62" spans="2:7" x14ac:dyDescent="0.2">
      <c r="B62" s="230">
        <v>57</v>
      </c>
      <c r="C62" s="280" t="s">
        <v>1322</v>
      </c>
      <c r="D62" s="280" t="s">
        <v>441</v>
      </c>
      <c r="E62" s="281">
        <v>2</v>
      </c>
      <c r="F62" s="281">
        <v>6000000</v>
      </c>
      <c r="G62" s="281">
        <f t="shared" si="0"/>
        <v>12000000</v>
      </c>
    </row>
    <row r="63" spans="2:7" x14ac:dyDescent="0.2">
      <c r="B63" s="230">
        <v>58</v>
      </c>
      <c r="C63" s="280" t="s">
        <v>1323</v>
      </c>
      <c r="D63" s="280" t="s">
        <v>441</v>
      </c>
      <c r="E63" s="281">
        <v>2</v>
      </c>
      <c r="F63" s="281">
        <v>6000000</v>
      </c>
      <c r="G63" s="281">
        <f t="shared" si="0"/>
        <v>12000000</v>
      </c>
    </row>
    <row r="64" spans="2:7" x14ac:dyDescent="0.2">
      <c r="B64" s="230">
        <v>59</v>
      </c>
      <c r="C64" s="280" t="s">
        <v>1324</v>
      </c>
      <c r="D64" s="280" t="s">
        <v>1261</v>
      </c>
      <c r="E64" s="281">
        <v>150</v>
      </c>
      <c r="F64" s="281">
        <v>14200</v>
      </c>
      <c r="G64" s="281">
        <f t="shared" si="0"/>
        <v>2130000</v>
      </c>
    </row>
    <row r="65" spans="2:7" x14ac:dyDescent="0.2">
      <c r="B65" s="230">
        <v>60</v>
      </c>
      <c r="C65" s="280" t="s">
        <v>1325</v>
      </c>
      <c r="D65" s="280" t="s">
        <v>441</v>
      </c>
      <c r="E65" s="281">
        <v>12</v>
      </c>
      <c r="F65" s="281"/>
      <c r="G65" s="281">
        <f t="shared" si="0"/>
        <v>0</v>
      </c>
    </row>
    <row r="66" spans="2:7" x14ac:dyDescent="0.2">
      <c r="B66" s="230">
        <v>61</v>
      </c>
      <c r="C66" s="280" t="s">
        <v>1326</v>
      </c>
      <c r="D66" s="280" t="s">
        <v>1327</v>
      </c>
      <c r="E66" s="281">
        <v>230</v>
      </c>
      <c r="F66" s="281">
        <v>45000</v>
      </c>
      <c r="G66" s="281">
        <f t="shared" si="0"/>
        <v>10350000</v>
      </c>
    </row>
    <row r="67" spans="2:7" x14ac:dyDescent="0.2">
      <c r="B67" s="230">
        <v>62</v>
      </c>
      <c r="C67" s="280" t="s">
        <v>1328</v>
      </c>
      <c r="D67" s="280" t="s">
        <v>1329</v>
      </c>
      <c r="E67" s="281">
        <v>10</v>
      </c>
      <c r="F67" s="281">
        <v>25000</v>
      </c>
      <c r="G67" s="281">
        <f t="shared" si="0"/>
        <v>250000</v>
      </c>
    </row>
    <row r="68" spans="2:7" x14ac:dyDescent="0.2">
      <c r="B68" s="230">
        <v>63</v>
      </c>
      <c r="C68" s="280" t="s">
        <v>1330</v>
      </c>
      <c r="D68" s="280" t="s">
        <v>1329</v>
      </c>
      <c r="E68" s="281">
        <v>5</v>
      </c>
      <c r="F68" s="281">
        <v>25000</v>
      </c>
      <c r="G68" s="281">
        <f t="shared" si="0"/>
        <v>125000</v>
      </c>
    </row>
    <row r="69" spans="2:7" x14ac:dyDescent="0.2">
      <c r="B69" s="230">
        <v>64</v>
      </c>
      <c r="C69" s="280" t="s">
        <v>1709</v>
      </c>
      <c r="D69" s="280" t="s">
        <v>441</v>
      </c>
      <c r="E69" s="281">
        <v>10</v>
      </c>
      <c r="F69" s="281">
        <v>10000</v>
      </c>
      <c r="G69" s="281">
        <f t="shared" si="0"/>
        <v>100000</v>
      </c>
    </row>
    <row r="70" spans="2:7" x14ac:dyDescent="0.2">
      <c r="B70" s="638">
        <v>65</v>
      </c>
      <c r="C70" s="765" t="s">
        <v>1710</v>
      </c>
      <c r="D70" s="765" t="s">
        <v>1275</v>
      </c>
      <c r="E70" s="766">
        <v>64</v>
      </c>
      <c r="F70" s="766">
        <v>58000</v>
      </c>
      <c r="G70" s="766">
        <f t="shared" si="0"/>
        <v>3712000</v>
      </c>
    </row>
    <row r="71" spans="2:7" x14ac:dyDescent="0.2">
      <c r="B71" s="230">
        <v>66</v>
      </c>
      <c r="C71" s="280" t="s">
        <v>1331</v>
      </c>
      <c r="D71" s="280" t="s">
        <v>441</v>
      </c>
      <c r="E71" s="281">
        <v>12</v>
      </c>
      <c r="F71" s="281"/>
      <c r="G71" s="281">
        <f t="shared" ref="G71:G85" si="1">E71*F71</f>
        <v>0</v>
      </c>
    </row>
    <row r="72" spans="2:7" x14ac:dyDescent="0.2">
      <c r="B72" s="230">
        <v>67</v>
      </c>
      <c r="C72" s="280" t="s">
        <v>1711</v>
      </c>
      <c r="D72" s="280" t="s">
        <v>1332</v>
      </c>
      <c r="E72" s="281">
        <v>560</v>
      </c>
      <c r="F72" s="281">
        <v>116600</v>
      </c>
      <c r="G72" s="281">
        <f t="shared" si="1"/>
        <v>65296000</v>
      </c>
    </row>
    <row r="73" spans="2:7" x14ac:dyDescent="0.2">
      <c r="B73" s="230">
        <v>68</v>
      </c>
      <c r="C73" s="280" t="s">
        <v>1333</v>
      </c>
      <c r="D73" s="280" t="s">
        <v>441</v>
      </c>
      <c r="E73" s="281">
        <v>2000</v>
      </c>
      <c r="F73" s="281">
        <v>530</v>
      </c>
      <c r="G73" s="281">
        <f t="shared" si="1"/>
        <v>1060000</v>
      </c>
    </row>
    <row r="74" spans="2:7" x14ac:dyDescent="0.2">
      <c r="B74" s="230">
        <v>69</v>
      </c>
      <c r="C74" s="280" t="s">
        <v>1334</v>
      </c>
      <c r="D74" s="280" t="s">
        <v>1335</v>
      </c>
      <c r="E74" s="281">
        <v>500</v>
      </c>
      <c r="F74" s="281">
        <v>30000</v>
      </c>
      <c r="G74" s="281">
        <f t="shared" si="1"/>
        <v>15000000</v>
      </c>
    </row>
    <row r="75" spans="2:7" x14ac:dyDescent="0.2">
      <c r="B75" s="749"/>
      <c r="C75" s="259"/>
      <c r="D75" s="259"/>
      <c r="E75" s="225"/>
      <c r="F75" s="225"/>
      <c r="G75" s="225"/>
    </row>
    <row r="76" spans="2:7" x14ac:dyDescent="0.2">
      <c r="B76" s="749"/>
      <c r="C76" s="259"/>
      <c r="D76" s="259"/>
      <c r="E76" s="225"/>
      <c r="F76" s="225"/>
      <c r="G76" s="225"/>
    </row>
    <row r="77" spans="2:7" x14ac:dyDescent="0.2">
      <c r="B77" s="749"/>
      <c r="C77" s="259"/>
      <c r="D77" s="259"/>
      <c r="E77" s="225"/>
      <c r="F77" s="225"/>
      <c r="G77" s="225"/>
    </row>
    <row r="78" spans="2:7" x14ac:dyDescent="0.2">
      <c r="B78" s="749"/>
      <c r="C78" s="259"/>
      <c r="D78" s="259"/>
      <c r="E78" s="225"/>
      <c r="F78" s="225"/>
      <c r="G78" s="225"/>
    </row>
    <row r="79" spans="2:7" x14ac:dyDescent="0.2">
      <c r="B79" s="230">
        <v>70</v>
      </c>
      <c r="C79" s="280" t="s">
        <v>1712</v>
      </c>
      <c r="D79" s="280" t="s">
        <v>1256</v>
      </c>
      <c r="E79" s="281">
        <v>10</v>
      </c>
      <c r="F79" s="281">
        <v>16000</v>
      </c>
      <c r="G79" s="281">
        <f t="shared" si="1"/>
        <v>160000</v>
      </c>
    </row>
    <row r="80" spans="2:7" x14ac:dyDescent="0.2">
      <c r="B80" s="230">
        <v>71</v>
      </c>
      <c r="C80" s="280" t="s">
        <v>1336</v>
      </c>
      <c r="D80" s="280" t="s">
        <v>441</v>
      </c>
      <c r="E80" s="281">
        <v>1200</v>
      </c>
      <c r="F80" s="281">
        <v>40000</v>
      </c>
      <c r="G80" s="281">
        <f t="shared" si="1"/>
        <v>48000000</v>
      </c>
    </row>
    <row r="81" spans="2:7" x14ac:dyDescent="0.2">
      <c r="B81" s="230">
        <v>72</v>
      </c>
      <c r="C81" s="280" t="s">
        <v>1713</v>
      </c>
      <c r="D81" s="280" t="s">
        <v>441</v>
      </c>
      <c r="E81" s="281">
        <v>1200</v>
      </c>
      <c r="F81" s="281">
        <v>56800</v>
      </c>
      <c r="G81" s="281">
        <f t="shared" si="1"/>
        <v>68160000</v>
      </c>
    </row>
    <row r="82" spans="2:7" x14ac:dyDescent="0.2">
      <c r="B82" s="230">
        <v>73</v>
      </c>
      <c r="C82" s="280" t="s">
        <v>1714</v>
      </c>
      <c r="D82" s="280" t="s">
        <v>1256</v>
      </c>
      <c r="E82" s="281">
        <v>10</v>
      </c>
      <c r="F82" s="281">
        <v>25000</v>
      </c>
      <c r="G82" s="281">
        <f t="shared" si="1"/>
        <v>250000</v>
      </c>
    </row>
    <row r="83" spans="2:7" x14ac:dyDescent="0.2">
      <c r="B83" s="230">
        <v>74</v>
      </c>
      <c r="C83" s="280" t="s">
        <v>1715</v>
      </c>
      <c r="D83" s="280" t="s">
        <v>1716</v>
      </c>
      <c r="E83" s="281">
        <v>90</v>
      </c>
      <c r="F83" s="281">
        <v>140000</v>
      </c>
      <c r="G83" s="281">
        <f t="shared" si="1"/>
        <v>12600000</v>
      </c>
    </row>
    <row r="84" spans="2:7" x14ac:dyDescent="0.2">
      <c r="B84" s="230">
        <v>75</v>
      </c>
      <c r="C84" s="280" t="s">
        <v>1337</v>
      </c>
      <c r="D84" s="280" t="s">
        <v>1338</v>
      </c>
      <c r="E84" s="281">
        <v>50</v>
      </c>
      <c r="F84" s="281">
        <v>14200</v>
      </c>
      <c r="G84" s="281">
        <f t="shared" si="1"/>
        <v>710000</v>
      </c>
    </row>
    <row r="85" spans="2:7" x14ac:dyDescent="0.2">
      <c r="B85" s="230">
        <v>76</v>
      </c>
      <c r="C85" s="280" t="s">
        <v>1339</v>
      </c>
      <c r="D85" s="280" t="s">
        <v>1340</v>
      </c>
      <c r="E85" s="281">
        <v>5</v>
      </c>
      <c r="F85" s="281">
        <v>13600</v>
      </c>
      <c r="G85" s="281">
        <f t="shared" si="1"/>
        <v>68000</v>
      </c>
    </row>
    <row r="86" spans="2:7" x14ac:dyDescent="0.2">
      <c r="B86" s="282"/>
      <c r="C86" s="283"/>
      <c r="D86" s="284"/>
      <c r="E86" s="1020" t="s">
        <v>560</v>
      </c>
      <c r="F86" s="1022"/>
      <c r="G86" s="285">
        <f>SUM(G6:G85)</f>
        <v>347863500</v>
      </c>
    </row>
    <row r="87" spans="2:7" x14ac:dyDescent="0.2">
      <c r="B87" s="749"/>
      <c r="C87" s="259"/>
      <c r="D87" s="286"/>
      <c r="E87" s="1020" t="s">
        <v>1508</v>
      </c>
      <c r="F87" s="1022"/>
      <c r="G87" s="285">
        <f>G86*0.16</f>
        <v>55658160</v>
      </c>
    </row>
    <row r="88" spans="2:7" x14ac:dyDescent="0.2">
      <c r="B88" s="749"/>
      <c r="C88" s="259"/>
      <c r="D88" s="286"/>
      <c r="E88" s="1020" t="s">
        <v>298</v>
      </c>
      <c r="F88" s="1022"/>
      <c r="G88" s="285">
        <f>SUM(G86:G87)</f>
        <v>403521660</v>
      </c>
    </row>
    <row r="89" spans="2:7" ht="15" customHeight="1" x14ac:dyDescent="0.2">
      <c r="B89" s="769"/>
      <c r="C89" s="770"/>
      <c r="D89" s="770"/>
      <c r="E89" s="770"/>
      <c r="F89" s="770"/>
      <c r="G89" s="770"/>
    </row>
    <row r="90" spans="2:7" x14ac:dyDescent="0.2">
      <c r="B90" s="1088" t="s">
        <v>1341</v>
      </c>
      <c r="C90" s="1088"/>
      <c r="D90" s="1088"/>
      <c r="E90" s="1088"/>
      <c r="F90" s="1088"/>
      <c r="G90" s="1088"/>
    </row>
    <row r="91" spans="2:7" x14ac:dyDescent="0.2">
      <c r="B91" s="1088"/>
      <c r="C91" s="1088"/>
      <c r="D91" s="1088"/>
      <c r="E91" s="1088"/>
      <c r="F91" s="1088"/>
      <c r="G91" s="1088"/>
    </row>
    <row r="92" spans="2:7" x14ac:dyDescent="0.2">
      <c r="B92" s="1088"/>
      <c r="C92" s="1088"/>
      <c r="D92" s="1088"/>
      <c r="E92" s="1088"/>
      <c r="F92" s="1088"/>
      <c r="G92" s="1088"/>
    </row>
    <row r="93" spans="2:7" x14ac:dyDescent="0.2">
      <c r="B93" s="1088"/>
      <c r="C93" s="1088"/>
      <c r="D93" s="1088"/>
      <c r="E93" s="1088"/>
      <c r="F93" s="1088"/>
      <c r="G93" s="1088"/>
    </row>
    <row r="94" spans="2:7" x14ac:dyDescent="0.2">
      <c r="B94" s="1088"/>
      <c r="C94" s="1088"/>
      <c r="D94" s="1088"/>
      <c r="E94" s="1088"/>
      <c r="F94" s="1088"/>
      <c r="G94" s="1088"/>
    </row>
    <row r="129" ht="15" customHeight="1" x14ac:dyDescent="0.2"/>
  </sheetData>
  <mergeCells count="6">
    <mergeCell ref="B90:G94"/>
    <mergeCell ref="B3:G3"/>
    <mergeCell ref="E86:F86"/>
    <mergeCell ref="E87:F87"/>
    <mergeCell ref="B4:G4"/>
    <mergeCell ref="E88:F88"/>
  </mergeCells>
  <pageMargins left="0.7" right="0.7" top="0.75" bottom="0.75" header="0.3" footer="0.3"/>
  <pageSetup paperSize="5" scale="85" orientation="portrait" r:id="rId1"/>
  <headerFooter>
    <oddFooter xml:space="preserve">&amp;C
</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8">
    <tabColor rgb="FF00B0F0"/>
  </sheetPr>
  <dimension ref="A1:H18"/>
  <sheetViews>
    <sheetView workbookViewId="0">
      <selection sqref="A1:H18"/>
    </sheetView>
  </sheetViews>
  <sheetFormatPr baseColWidth="10" defaultRowHeight="15" x14ac:dyDescent="0.25"/>
  <cols>
    <col min="1" max="1" width="10.5703125" style="113" customWidth="1"/>
    <col min="2" max="2" width="32" style="113" customWidth="1"/>
    <col min="3" max="3" width="16.5703125" style="113" customWidth="1"/>
    <col min="4" max="5" width="11.42578125" style="113"/>
    <col min="6" max="6" width="14.7109375" style="113" customWidth="1"/>
    <col min="7" max="7" width="11.42578125" style="113"/>
    <col min="8" max="8" width="14.140625" style="113" customWidth="1"/>
    <col min="9" max="16384" width="11.42578125" style="113"/>
  </cols>
  <sheetData>
    <row r="1" spans="1:8" x14ac:dyDescent="0.25">
      <c r="A1" s="1089" t="s">
        <v>232</v>
      </c>
      <c r="B1" s="1089"/>
      <c r="C1" s="1089"/>
      <c r="D1" s="1089"/>
      <c r="E1" s="1089"/>
      <c r="F1" s="1089"/>
      <c r="G1" s="1089"/>
      <c r="H1" s="1089"/>
    </row>
    <row r="2" spans="1:8" x14ac:dyDescent="0.25">
      <c r="A2" s="896" t="s">
        <v>1731</v>
      </c>
      <c r="B2" s="896"/>
      <c r="C2" s="896"/>
      <c r="D2" s="896"/>
      <c r="E2" s="896"/>
      <c r="F2" s="896"/>
      <c r="G2" s="896"/>
      <c r="H2" s="896"/>
    </row>
    <row r="3" spans="1:8" ht="24" x14ac:dyDescent="0.25">
      <c r="A3" s="292" t="s">
        <v>1732</v>
      </c>
      <c r="B3" s="292" t="s">
        <v>1733</v>
      </c>
      <c r="C3" s="292" t="s">
        <v>1734</v>
      </c>
      <c r="D3" s="292" t="s">
        <v>415</v>
      </c>
      <c r="E3" s="292" t="s">
        <v>2</v>
      </c>
      <c r="F3" s="292" t="s">
        <v>310</v>
      </c>
      <c r="G3" s="292" t="s">
        <v>159</v>
      </c>
      <c r="H3" s="292" t="s">
        <v>1735</v>
      </c>
    </row>
    <row r="4" spans="1:8" ht="24.95" customHeight="1" x14ac:dyDescent="0.25">
      <c r="A4" s="287" t="s">
        <v>1736</v>
      </c>
      <c r="B4" s="287" t="s">
        <v>1737</v>
      </c>
      <c r="C4" s="164" t="s">
        <v>1738</v>
      </c>
      <c r="D4" s="164" t="s">
        <v>1739</v>
      </c>
      <c r="E4" s="164">
        <v>32</v>
      </c>
      <c r="F4" s="289">
        <v>418200</v>
      </c>
      <c r="G4" s="164" t="s">
        <v>1740</v>
      </c>
      <c r="H4" s="289">
        <f>F4*E4</f>
        <v>13382400</v>
      </c>
    </row>
    <row r="5" spans="1:8" ht="53.25" customHeight="1" x14ac:dyDescent="0.25">
      <c r="A5" s="287">
        <v>1001044</v>
      </c>
      <c r="B5" s="287" t="s">
        <v>1741</v>
      </c>
      <c r="C5" s="164" t="s">
        <v>1742</v>
      </c>
      <c r="D5" s="164" t="s">
        <v>1739</v>
      </c>
      <c r="E5" s="293">
        <v>18</v>
      </c>
      <c r="F5" s="294">
        <v>227200</v>
      </c>
      <c r="G5" s="293" t="s">
        <v>1740</v>
      </c>
      <c r="H5" s="289">
        <f t="shared" ref="H5:H15" si="0">F5*E5</f>
        <v>4089600</v>
      </c>
    </row>
    <row r="6" spans="1:8" ht="24.95" customHeight="1" x14ac:dyDescent="0.25">
      <c r="A6" s="287" t="s">
        <v>1743</v>
      </c>
      <c r="B6" s="287" t="s">
        <v>1744</v>
      </c>
      <c r="C6" s="164" t="s">
        <v>1738</v>
      </c>
      <c r="D6" s="164" t="s">
        <v>1739</v>
      </c>
      <c r="E6" s="164">
        <v>90</v>
      </c>
      <c r="F6" s="289">
        <v>229500</v>
      </c>
      <c r="G6" s="164" t="s">
        <v>1740</v>
      </c>
      <c r="H6" s="289">
        <f t="shared" si="0"/>
        <v>20655000</v>
      </c>
    </row>
    <row r="7" spans="1:8" ht="24.95" customHeight="1" x14ac:dyDescent="0.25">
      <c r="A7" s="287" t="s">
        <v>1745</v>
      </c>
      <c r="B7" s="287" t="s">
        <v>1746</v>
      </c>
      <c r="C7" s="164" t="s">
        <v>1747</v>
      </c>
      <c r="D7" s="164" t="s">
        <v>1739</v>
      </c>
      <c r="E7" s="164">
        <v>90</v>
      </c>
      <c r="F7" s="289">
        <v>255000</v>
      </c>
      <c r="G7" s="164" t="s">
        <v>1740</v>
      </c>
      <c r="H7" s="289">
        <f t="shared" si="0"/>
        <v>22950000</v>
      </c>
    </row>
    <row r="8" spans="1:8" ht="24.95" customHeight="1" x14ac:dyDescent="0.25">
      <c r="A8" s="287" t="s">
        <v>1748</v>
      </c>
      <c r="B8" s="287" t="s">
        <v>1749</v>
      </c>
      <c r="C8" s="164" t="s">
        <v>1747</v>
      </c>
      <c r="D8" s="164" t="s">
        <v>1739</v>
      </c>
      <c r="E8" s="164">
        <v>75</v>
      </c>
      <c r="F8" s="289">
        <v>683400</v>
      </c>
      <c r="G8" s="164" t="s">
        <v>1740</v>
      </c>
      <c r="H8" s="289">
        <f t="shared" si="0"/>
        <v>51255000</v>
      </c>
    </row>
    <row r="9" spans="1:8" ht="24.95" customHeight="1" x14ac:dyDescent="0.25">
      <c r="A9" s="287" t="s">
        <v>1750</v>
      </c>
      <c r="B9" s="287" t="s">
        <v>1751</v>
      </c>
      <c r="C9" s="164" t="s">
        <v>1752</v>
      </c>
      <c r="D9" s="164" t="s">
        <v>1739</v>
      </c>
      <c r="E9" s="164">
        <v>16</v>
      </c>
      <c r="F9" s="289">
        <v>448800</v>
      </c>
      <c r="G9" s="164" t="s">
        <v>1740</v>
      </c>
      <c r="H9" s="289">
        <f t="shared" si="0"/>
        <v>7180800</v>
      </c>
    </row>
    <row r="10" spans="1:8" ht="24.95" customHeight="1" x14ac:dyDescent="0.25">
      <c r="A10" s="287" t="s">
        <v>1753</v>
      </c>
      <c r="B10" s="287" t="s">
        <v>1754</v>
      </c>
      <c r="C10" s="164" t="s">
        <v>1747</v>
      </c>
      <c r="D10" s="164" t="s">
        <v>1739</v>
      </c>
      <c r="E10" s="164">
        <v>85</v>
      </c>
      <c r="F10" s="289">
        <v>331500</v>
      </c>
      <c r="G10" s="164" t="s">
        <v>1740</v>
      </c>
      <c r="H10" s="289">
        <f t="shared" si="0"/>
        <v>28177500</v>
      </c>
    </row>
    <row r="11" spans="1:8" ht="24.95" customHeight="1" x14ac:dyDescent="0.25">
      <c r="A11" s="287" t="s">
        <v>1755</v>
      </c>
      <c r="B11" s="287" t="s">
        <v>1756</v>
      </c>
      <c r="C11" s="164" t="s">
        <v>1757</v>
      </c>
      <c r="D11" s="164" t="s">
        <v>1739</v>
      </c>
      <c r="E11" s="164">
        <v>75</v>
      </c>
      <c r="F11" s="289">
        <v>675000</v>
      </c>
      <c r="G11" s="164" t="s">
        <v>1740</v>
      </c>
      <c r="H11" s="289">
        <f t="shared" si="0"/>
        <v>50625000</v>
      </c>
    </row>
    <row r="12" spans="1:8" ht="24.95" customHeight="1" x14ac:dyDescent="0.25">
      <c r="A12" s="287" t="s">
        <v>1758</v>
      </c>
      <c r="B12" s="287" t="s">
        <v>1759</v>
      </c>
      <c r="C12" s="164" t="s">
        <v>1760</v>
      </c>
      <c r="D12" s="164" t="s">
        <v>1761</v>
      </c>
      <c r="E12" s="164">
        <v>140</v>
      </c>
      <c r="F12" s="289">
        <v>590200</v>
      </c>
      <c r="G12" s="164" t="s">
        <v>1740</v>
      </c>
      <c r="H12" s="289">
        <f t="shared" si="0"/>
        <v>82628000</v>
      </c>
    </row>
    <row r="13" spans="1:8" ht="24.95" customHeight="1" x14ac:dyDescent="0.25">
      <c r="A13" s="287" t="s">
        <v>1762</v>
      </c>
      <c r="B13" s="287" t="s">
        <v>1763</v>
      </c>
      <c r="C13" s="164" t="s">
        <v>1764</v>
      </c>
      <c r="D13" s="164" t="s">
        <v>1765</v>
      </c>
      <c r="E13" s="164">
        <v>3</v>
      </c>
      <c r="F13" s="289">
        <v>826800</v>
      </c>
      <c r="G13" s="164" t="s">
        <v>1740</v>
      </c>
      <c r="H13" s="289">
        <f t="shared" si="0"/>
        <v>2480400</v>
      </c>
    </row>
    <row r="14" spans="1:8" ht="24.95" customHeight="1" x14ac:dyDescent="0.25">
      <c r="A14" s="287" t="s">
        <v>1766</v>
      </c>
      <c r="B14" s="287" t="s">
        <v>1767</v>
      </c>
      <c r="C14" s="164" t="s">
        <v>1760</v>
      </c>
      <c r="D14" s="164" t="s">
        <v>1768</v>
      </c>
      <c r="E14" s="164">
        <v>7</v>
      </c>
      <c r="F14" s="289">
        <v>803400</v>
      </c>
      <c r="G14" s="164" t="s">
        <v>1740</v>
      </c>
      <c r="H14" s="289">
        <f t="shared" si="0"/>
        <v>5623800</v>
      </c>
    </row>
    <row r="15" spans="1:8" ht="24.95" customHeight="1" x14ac:dyDescent="0.25">
      <c r="A15" s="287" t="s">
        <v>1769</v>
      </c>
      <c r="B15" s="287" t="s">
        <v>1770</v>
      </c>
      <c r="C15" s="164" t="s">
        <v>1760</v>
      </c>
      <c r="D15" s="164" t="s">
        <v>1761</v>
      </c>
      <c r="E15" s="164">
        <v>3</v>
      </c>
      <c r="F15" s="289">
        <v>631800</v>
      </c>
      <c r="G15" s="164" t="s">
        <v>1740</v>
      </c>
      <c r="H15" s="289">
        <f t="shared" si="0"/>
        <v>1895400</v>
      </c>
    </row>
    <row r="16" spans="1:8" x14ac:dyDescent="0.25">
      <c r="A16" s="158"/>
      <c r="B16" s="158"/>
      <c r="C16" s="158"/>
      <c r="D16" s="158"/>
      <c r="E16" s="158"/>
      <c r="F16" s="896" t="s">
        <v>284</v>
      </c>
      <c r="G16" s="896"/>
      <c r="H16" s="295">
        <f>SUM(H4:H15)</f>
        <v>290942900</v>
      </c>
    </row>
    <row r="17" spans="1:8" x14ac:dyDescent="0.25">
      <c r="A17" s="158"/>
      <c r="B17" s="158"/>
      <c r="C17" s="158"/>
      <c r="D17" s="158"/>
      <c r="E17" s="158"/>
      <c r="F17" s="896" t="s">
        <v>159</v>
      </c>
      <c r="G17" s="896"/>
      <c r="H17" s="295">
        <v>0</v>
      </c>
    </row>
    <row r="18" spans="1:8" x14ac:dyDescent="0.25">
      <c r="A18" s="158"/>
      <c r="B18" s="158"/>
      <c r="C18" s="158"/>
      <c r="D18" s="158"/>
      <c r="E18" s="158"/>
      <c r="F18" s="896" t="s">
        <v>298</v>
      </c>
      <c r="G18" s="896"/>
      <c r="H18" s="295">
        <f>SUM(H16:H17)</f>
        <v>290942900</v>
      </c>
    </row>
  </sheetData>
  <mergeCells count="5">
    <mergeCell ref="F16:G16"/>
    <mergeCell ref="F17:G17"/>
    <mergeCell ref="F18:G18"/>
    <mergeCell ref="A1:H1"/>
    <mergeCell ref="A2:H2"/>
  </mergeCells>
  <printOptions horizontalCentered="1"/>
  <pageMargins left="0.7" right="0.7" top="0.75" bottom="1.6" header="0.3" footer="1.04"/>
  <pageSetup paperSize="5" orientation="landscape" r:id="rId1"/>
  <headerFooter>
    <oddFooter xml:space="preserve">&amp;C127
</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9">
    <tabColor rgb="FF00B0F0"/>
  </sheetPr>
  <dimension ref="A1:G16"/>
  <sheetViews>
    <sheetView view="pageLayout" zoomScaleNormal="100" workbookViewId="0">
      <selection activeCell="B3" sqref="B3:G16"/>
    </sheetView>
  </sheetViews>
  <sheetFormatPr baseColWidth="10" defaultRowHeight="15" x14ac:dyDescent="0.25"/>
  <cols>
    <col min="1" max="1" width="11.42578125" style="113"/>
    <col min="2" max="2" width="6.5703125" customWidth="1"/>
    <col min="3" max="3" width="16.7109375" customWidth="1"/>
    <col min="4" max="4" width="14.140625" customWidth="1"/>
    <col min="7" max="7" width="14.7109375" customWidth="1"/>
  </cols>
  <sheetData>
    <row r="1" spans="2:7" s="113" customFormat="1" x14ac:dyDescent="0.25"/>
    <row r="2" spans="2:7" s="113" customFormat="1" x14ac:dyDescent="0.25"/>
    <row r="3" spans="2:7" x14ac:dyDescent="0.25">
      <c r="B3" s="914" t="s">
        <v>232</v>
      </c>
      <c r="C3" s="914"/>
      <c r="D3" s="914"/>
      <c r="E3" s="914"/>
      <c r="F3" s="914"/>
      <c r="G3" s="914"/>
    </row>
    <row r="4" spans="2:7" x14ac:dyDescent="0.25">
      <c r="B4" s="944" t="s">
        <v>1432</v>
      </c>
      <c r="C4" s="944"/>
      <c r="D4" s="944"/>
      <c r="E4" s="944"/>
      <c r="F4" s="944"/>
      <c r="G4" s="944"/>
    </row>
    <row r="5" spans="2:7" x14ac:dyDescent="0.25">
      <c r="B5" s="270" t="s">
        <v>299</v>
      </c>
      <c r="C5" s="270" t="s">
        <v>374</v>
      </c>
      <c r="D5" s="270" t="s">
        <v>415</v>
      </c>
      <c r="E5" s="270" t="s">
        <v>162</v>
      </c>
      <c r="F5" s="270" t="s">
        <v>285</v>
      </c>
      <c r="G5" s="270" t="s">
        <v>164</v>
      </c>
    </row>
    <row r="6" spans="2:7" x14ac:dyDescent="0.25">
      <c r="B6" s="230">
        <v>1</v>
      </c>
      <c r="C6" s="287" t="s">
        <v>1719</v>
      </c>
      <c r="D6" s="164" t="s">
        <v>1720</v>
      </c>
      <c r="E6" s="288">
        <v>150</v>
      </c>
      <c r="F6" s="289">
        <v>472500</v>
      </c>
      <c r="G6" s="255">
        <f>E6*F6</f>
        <v>70875000</v>
      </c>
    </row>
    <row r="7" spans="2:7" ht="15" customHeight="1" x14ac:dyDescent="0.25">
      <c r="B7" s="230">
        <v>2</v>
      </c>
      <c r="C7" s="287" t="s">
        <v>1721</v>
      </c>
      <c r="D7" s="164" t="s">
        <v>1722</v>
      </c>
      <c r="E7" s="288">
        <v>80</v>
      </c>
      <c r="F7" s="289">
        <v>477500</v>
      </c>
      <c r="G7" s="255">
        <f t="shared" ref="G7:G13" si="0">E7*F7</f>
        <v>38200000</v>
      </c>
    </row>
    <row r="8" spans="2:7" x14ac:dyDescent="0.25">
      <c r="B8" s="230">
        <v>3</v>
      </c>
      <c r="C8" s="287" t="s">
        <v>1723</v>
      </c>
      <c r="D8" s="164" t="s">
        <v>1722</v>
      </c>
      <c r="E8" s="288">
        <v>130</v>
      </c>
      <c r="F8" s="289">
        <v>360000</v>
      </c>
      <c r="G8" s="255">
        <f t="shared" si="0"/>
        <v>46800000</v>
      </c>
    </row>
    <row r="9" spans="2:7" ht="15" customHeight="1" x14ac:dyDescent="0.25">
      <c r="B9" s="230">
        <v>4</v>
      </c>
      <c r="C9" s="287" t="s">
        <v>1724</v>
      </c>
      <c r="D9" s="164" t="s">
        <v>1722</v>
      </c>
      <c r="E9" s="288">
        <v>150</v>
      </c>
      <c r="F9" s="289">
        <v>319500</v>
      </c>
      <c r="G9" s="255">
        <f t="shared" si="0"/>
        <v>47925000</v>
      </c>
    </row>
    <row r="10" spans="2:7" x14ac:dyDescent="0.25">
      <c r="B10" s="230">
        <v>5</v>
      </c>
      <c r="C10" s="287" t="s">
        <v>1725</v>
      </c>
      <c r="D10" s="164" t="s">
        <v>1722</v>
      </c>
      <c r="E10" s="288">
        <v>90</v>
      </c>
      <c r="F10" s="289">
        <v>339000</v>
      </c>
      <c r="G10" s="255">
        <f t="shared" si="0"/>
        <v>30510000</v>
      </c>
    </row>
    <row r="11" spans="2:7" x14ac:dyDescent="0.25">
      <c r="B11" s="230">
        <v>6</v>
      </c>
      <c r="C11" s="287" t="s">
        <v>1726</v>
      </c>
      <c r="D11" s="164" t="s">
        <v>1727</v>
      </c>
      <c r="E11" s="288">
        <v>90</v>
      </c>
      <c r="F11" s="289">
        <v>661500</v>
      </c>
      <c r="G11" s="255">
        <f t="shared" si="0"/>
        <v>59535000</v>
      </c>
    </row>
    <row r="12" spans="2:7" x14ac:dyDescent="0.25">
      <c r="B12" s="230">
        <v>7</v>
      </c>
      <c r="C12" s="287" t="s">
        <v>1728</v>
      </c>
      <c r="D12" s="164" t="s">
        <v>1722</v>
      </c>
      <c r="E12" s="288">
        <v>90</v>
      </c>
      <c r="F12" s="289">
        <v>58500</v>
      </c>
      <c r="G12" s="255">
        <f t="shared" si="0"/>
        <v>5265000</v>
      </c>
    </row>
    <row r="13" spans="2:7" x14ac:dyDescent="0.25">
      <c r="B13" s="230">
        <v>8</v>
      </c>
      <c r="C13" s="287" t="s">
        <v>1729</v>
      </c>
      <c r="D13" s="164" t="s">
        <v>1730</v>
      </c>
      <c r="E13" s="288">
        <v>90</v>
      </c>
      <c r="F13" s="289">
        <v>316500</v>
      </c>
      <c r="G13" s="255">
        <f t="shared" si="0"/>
        <v>28485000</v>
      </c>
    </row>
    <row r="14" spans="2:7" x14ac:dyDescent="0.25">
      <c r="B14" s="290"/>
      <c r="C14" s="290"/>
      <c r="D14" s="290"/>
      <c r="E14" s="967" t="s">
        <v>284</v>
      </c>
      <c r="F14" s="967"/>
      <c r="G14" s="224">
        <f>SUM(G6:G13)</f>
        <v>327595000</v>
      </c>
    </row>
    <row r="15" spans="2:7" x14ac:dyDescent="0.25">
      <c r="B15" s="291"/>
      <c r="C15" s="291"/>
      <c r="D15" s="291"/>
      <c r="E15" s="967" t="s">
        <v>159</v>
      </c>
      <c r="F15" s="967"/>
      <c r="G15" s="224">
        <f>G14*0.16</f>
        <v>52415200</v>
      </c>
    </row>
    <row r="16" spans="2:7" x14ac:dyDescent="0.25">
      <c r="B16" s="291"/>
      <c r="C16" s="291"/>
      <c r="D16" s="291"/>
      <c r="E16" s="967" t="s">
        <v>298</v>
      </c>
      <c r="F16" s="967"/>
      <c r="G16" s="224">
        <f>SUM(G14:G15)</f>
        <v>380010200</v>
      </c>
    </row>
  </sheetData>
  <mergeCells count="5">
    <mergeCell ref="E14:F14"/>
    <mergeCell ref="E15:F15"/>
    <mergeCell ref="E16:F16"/>
    <mergeCell ref="B3:G3"/>
    <mergeCell ref="B4:G4"/>
  </mergeCells>
  <printOptions horizontalCentered="1"/>
  <pageMargins left="0.7" right="0.7" top="0.75" bottom="1.6" header="0.3" footer="1.04"/>
  <pageSetup paperSize="5" orientation="landscape" r:id="rId1"/>
  <headerFooter>
    <oddFooter xml:space="preserve">&amp;C
</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0">
    <tabColor rgb="FF00B0F0"/>
  </sheetPr>
  <dimension ref="A1:G19"/>
  <sheetViews>
    <sheetView view="pageLayout" workbookViewId="0">
      <selection activeCell="C3" sqref="B3:G17"/>
    </sheetView>
  </sheetViews>
  <sheetFormatPr baseColWidth="10" defaultRowHeight="15" x14ac:dyDescent="0.25"/>
  <cols>
    <col min="1" max="1" width="11.42578125" style="113"/>
    <col min="2" max="2" width="8" style="113" customWidth="1"/>
    <col min="3" max="3" width="37.5703125" customWidth="1"/>
    <col min="4" max="4" width="17.7109375" customWidth="1"/>
    <col min="5" max="5" width="14.5703125" customWidth="1"/>
    <col min="6" max="6" width="14.42578125" customWidth="1"/>
    <col min="7" max="7" width="16.28515625" customWidth="1"/>
  </cols>
  <sheetData>
    <row r="1" spans="2:7" s="113" customFormat="1" x14ac:dyDescent="0.25"/>
    <row r="2" spans="2:7" s="113" customFormat="1" x14ac:dyDescent="0.25"/>
    <row r="3" spans="2:7" s="113" customFormat="1" x14ac:dyDescent="0.25">
      <c r="C3" s="1092" t="s">
        <v>232</v>
      </c>
      <c r="D3" s="1092"/>
      <c r="E3" s="1092"/>
      <c r="F3" s="1092"/>
      <c r="G3" s="1092"/>
    </row>
    <row r="4" spans="2:7" s="113" customFormat="1" x14ac:dyDescent="0.25">
      <c r="B4" s="1093" t="s">
        <v>1947</v>
      </c>
      <c r="C4" s="1094"/>
      <c r="D4" s="1094"/>
      <c r="E4" s="1094"/>
      <c r="F4" s="1094"/>
      <c r="G4" s="1095"/>
    </row>
    <row r="5" spans="2:7" ht="25.5" x14ac:dyDescent="0.25">
      <c r="B5" s="750" t="s">
        <v>233</v>
      </c>
      <c r="C5" s="751" t="s">
        <v>520</v>
      </c>
      <c r="D5" s="750" t="s">
        <v>1931</v>
      </c>
      <c r="E5" s="751" t="s">
        <v>2</v>
      </c>
      <c r="F5" s="771" t="s">
        <v>1932</v>
      </c>
      <c r="G5" s="751" t="s">
        <v>180</v>
      </c>
    </row>
    <row r="6" spans="2:7" x14ac:dyDescent="0.25">
      <c r="B6" s="25">
        <v>1</v>
      </c>
      <c r="C6" s="772" t="s">
        <v>1933</v>
      </c>
      <c r="D6" s="25" t="s">
        <v>1142</v>
      </c>
      <c r="E6" s="15">
        <v>15000</v>
      </c>
      <c r="F6" s="773">
        <v>7500</v>
      </c>
      <c r="G6" s="773">
        <f>AVERAGE(E6*F6)</f>
        <v>112500000</v>
      </c>
    </row>
    <row r="7" spans="2:7" x14ac:dyDescent="0.25">
      <c r="B7" s="25">
        <v>2</v>
      </c>
      <c r="C7" s="772" t="s">
        <v>1934</v>
      </c>
      <c r="D7" s="25" t="s">
        <v>1935</v>
      </c>
      <c r="E7" s="15">
        <v>200</v>
      </c>
      <c r="F7" s="774">
        <v>3050</v>
      </c>
      <c r="G7" s="773">
        <f t="shared" ref="G7:G16" si="0">AVERAGE(E7*F7)</f>
        <v>610000</v>
      </c>
    </row>
    <row r="8" spans="2:7" x14ac:dyDescent="0.25">
      <c r="B8" s="25">
        <v>3</v>
      </c>
      <c r="C8" s="772" t="s">
        <v>1936</v>
      </c>
      <c r="D8" s="25" t="s">
        <v>1937</v>
      </c>
      <c r="E8" s="15">
        <v>200</v>
      </c>
      <c r="F8" s="774">
        <v>12600</v>
      </c>
      <c r="G8" s="773">
        <f t="shared" si="0"/>
        <v>2520000</v>
      </c>
    </row>
    <row r="9" spans="2:7" x14ac:dyDescent="0.25">
      <c r="B9" s="25">
        <v>4</v>
      </c>
      <c r="C9" s="772" t="s">
        <v>1938</v>
      </c>
      <c r="D9" s="25" t="s">
        <v>1142</v>
      </c>
      <c r="E9" s="15">
        <v>1200</v>
      </c>
      <c r="F9" s="774">
        <v>32300</v>
      </c>
      <c r="G9" s="773">
        <f t="shared" si="0"/>
        <v>38760000</v>
      </c>
    </row>
    <row r="10" spans="2:7" x14ac:dyDescent="0.25">
      <c r="B10" s="25">
        <v>5</v>
      </c>
      <c r="C10" s="772" t="s">
        <v>1939</v>
      </c>
      <c r="D10" s="25" t="s">
        <v>1143</v>
      </c>
      <c r="E10" s="15">
        <v>50</v>
      </c>
      <c r="F10" s="774">
        <v>44652</v>
      </c>
      <c r="G10" s="773">
        <f t="shared" si="0"/>
        <v>2232600</v>
      </c>
    </row>
    <row r="11" spans="2:7" x14ac:dyDescent="0.25">
      <c r="B11" s="25">
        <v>6</v>
      </c>
      <c r="C11" s="772" t="s">
        <v>1940</v>
      </c>
      <c r="D11" s="25" t="s">
        <v>1142</v>
      </c>
      <c r="E11" s="15">
        <v>1500</v>
      </c>
      <c r="F11" s="774">
        <v>25300</v>
      </c>
      <c r="G11" s="773">
        <f t="shared" si="0"/>
        <v>37950000</v>
      </c>
    </row>
    <row r="12" spans="2:7" x14ac:dyDescent="0.25">
      <c r="B12" s="25">
        <v>7</v>
      </c>
      <c r="C12" s="772" t="s">
        <v>1941</v>
      </c>
      <c r="D12" s="25" t="s">
        <v>1942</v>
      </c>
      <c r="E12" s="15">
        <v>420</v>
      </c>
      <c r="F12" s="774">
        <v>4800</v>
      </c>
      <c r="G12" s="773">
        <f t="shared" si="0"/>
        <v>2016000</v>
      </c>
    </row>
    <row r="13" spans="2:7" x14ac:dyDescent="0.25">
      <c r="B13" s="25">
        <v>8</v>
      </c>
      <c r="C13" s="772" t="s">
        <v>1943</v>
      </c>
      <c r="D13" s="25" t="s">
        <v>1944</v>
      </c>
      <c r="E13" s="15">
        <v>1100</v>
      </c>
      <c r="F13" s="774">
        <v>28669</v>
      </c>
      <c r="G13" s="773">
        <f t="shared" si="0"/>
        <v>31535900</v>
      </c>
    </row>
    <row r="14" spans="2:7" x14ac:dyDescent="0.25">
      <c r="B14" s="25">
        <v>9</v>
      </c>
      <c r="C14" s="772" t="s">
        <v>1945</v>
      </c>
      <c r="D14" s="25">
        <v>240</v>
      </c>
      <c r="E14" s="15">
        <v>1000</v>
      </c>
      <c r="F14" s="774">
        <v>10071</v>
      </c>
      <c r="G14" s="773">
        <f t="shared" si="0"/>
        <v>10071000</v>
      </c>
    </row>
    <row r="15" spans="2:7" x14ac:dyDescent="0.25">
      <c r="B15" s="25">
        <v>10</v>
      </c>
      <c r="C15" s="772" t="s">
        <v>1946</v>
      </c>
      <c r="D15" s="25" t="s">
        <v>1142</v>
      </c>
      <c r="E15" s="15">
        <v>800</v>
      </c>
      <c r="F15" s="774">
        <v>35988</v>
      </c>
      <c r="G15" s="773">
        <f t="shared" si="0"/>
        <v>28790400</v>
      </c>
    </row>
    <row r="16" spans="2:7" x14ac:dyDescent="0.25">
      <c r="B16" s="25">
        <v>11</v>
      </c>
      <c r="C16" s="772" t="s">
        <v>1342</v>
      </c>
      <c r="D16" s="720" t="s">
        <v>1142</v>
      </c>
      <c r="E16" s="15">
        <v>600</v>
      </c>
      <c r="F16" s="774">
        <v>78200</v>
      </c>
      <c r="G16" s="773">
        <f t="shared" si="0"/>
        <v>46920000</v>
      </c>
    </row>
    <row r="17" spans="3:7" ht="15" customHeight="1" x14ac:dyDescent="0.25">
      <c r="C17" s="775"/>
      <c r="D17" s="776"/>
      <c r="E17" s="1090" t="s">
        <v>180</v>
      </c>
      <c r="F17" s="1091"/>
      <c r="G17" s="777">
        <f>SUM(G6:G16)</f>
        <v>313905900</v>
      </c>
    </row>
    <row r="19" spans="3:7" ht="15.75" customHeight="1" x14ac:dyDescent="0.25"/>
  </sheetData>
  <mergeCells count="3">
    <mergeCell ref="E17:F17"/>
    <mergeCell ref="C3:G3"/>
    <mergeCell ref="B4:G4"/>
  </mergeCells>
  <printOptions horizontalCentered="1"/>
  <pageMargins left="0.7" right="0.7" top="0.75" bottom="0.75" header="0.3" footer="0.3"/>
  <pageSetup paperSize="5" orientation="landscape" r:id="rId1"/>
  <headerFoot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102</vt:i4>
      </vt:variant>
    </vt:vector>
  </HeadingPairs>
  <TitlesOfParts>
    <vt:vector size="102" baseType="lpstr">
      <vt:lpstr>PORTADA</vt:lpstr>
      <vt:lpstr>AMPLIACION</vt:lpstr>
      <vt:lpstr>Hoja3</vt:lpstr>
      <vt:lpstr>Hoja1</vt:lpstr>
      <vt:lpstr>ADQUISICIÓN</vt:lpstr>
      <vt:lpstr>Hoja4</vt:lpstr>
      <vt:lpstr>UTILES DE OFICINA</vt:lpstr>
      <vt:lpstr>PUBLICIDAD</vt:lpstr>
      <vt:lpstr>ASEO Y CAFETERIA</vt:lpstr>
      <vt:lpstr>CANECAS DE TAPA</vt:lpstr>
      <vt:lpstr>CANECAS DE PEDAL</vt:lpstr>
      <vt:lpstr>ESTIBAS</vt:lpstr>
      <vt:lpstr>DOTACION BRIGADISTAS</vt:lpstr>
      <vt:lpstr>MUEBLES Y ENSERES</vt:lpstr>
      <vt:lpstr>MUEBLES Y ENSERES II </vt:lpstr>
      <vt:lpstr>MUEBLES Y ENSERES III</vt:lpstr>
      <vt:lpstr>EXTINTORES I</vt:lpstr>
      <vt:lpstr>BOTIQUIN</vt:lpstr>
      <vt:lpstr>BOTIQUIN II</vt:lpstr>
      <vt:lpstr>BOTIQUIN III</vt:lpstr>
      <vt:lpstr>VEHICULOS NUEVOS Y AMBULANCIAS</vt:lpstr>
      <vt:lpstr>DOTACION AMBULANCIAS</vt:lpstr>
      <vt:lpstr>COMPUTO </vt:lpstr>
      <vt:lpstr>COMPUTO  II</vt:lpstr>
      <vt:lpstr>COMPUTO  III</vt:lpstr>
      <vt:lpstr>29. EQUIPOS DE COMUNICACION</vt:lpstr>
      <vt:lpstr>30. VEHICULOS PARA LAS IPS Y SA</vt:lpstr>
      <vt:lpstr>31. ROPA DE MAYO I </vt:lpstr>
      <vt:lpstr>31. ROPA DE MAYO  II</vt:lpstr>
      <vt:lpstr>31. ROPA DE MAYO </vt:lpstr>
      <vt:lpstr>32. REPUESTOSEQUIPOS BIOMEDICOS</vt:lpstr>
      <vt:lpstr>33 Y 34 REPS EQUIPOS ODONTOLOG</vt:lpstr>
      <vt:lpstr>35. INSUMOS VEHICULOS</vt:lpstr>
      <vt:lpstr>36.37 EQUIPOS MEDICOS</vt:lpstr>
      <vt:lpstr>38.39 EQUIPOS MEDICOS II</vt:lpstr>
      <vt:lpstr>40.41 EQUIPOS MEDICOS III</vt:lpstr>
      <vt:lpstr>40.41 EQUIPOS MEDICOS IV</vt:lpstr>
      <vt:lpstr>40.41 EQUIPOS MEDICOS V</vt:lpstr>
      <vt:lpstr>42. EQUIPOS LABORATORIO</vt:lpstr>
      <vt:lpstr>43. 44.EQU. INSTR. ODONTOLOGIA</vt:lpstr>
      <vt:lpstr>43. 44.EQU. INSTR. ODONTOLO II</vt:lpstr>
      <vt:lpstr>46. AIRES ACONDICIONADOS</vt:lpstr>
      <vt:lpstr>47. MANEJO DE PLAGAS</vt:lpstr>
      <vt:lpstr>48. OXIGENO</vt:lpstr>
      <vt:lpstr>49. BOTELLONES DE AGUA</vt:lpstr>
      <vt:lpstr>50. CARROTANQUES</vt:lpstr>
      <vt:lpstr>52. VIGILANCIA</vt:lpstr>
      <vt:lpstr>54. SEGUROS</vt:lpstr>
      <vt:lpstr>55. SEGUROS</vt:lpstr>
      <vt:lpstr>MANT. GRAL MAT</vt:lpstr>
      <vt:lpstr>58.59.60. MANTENIMIENTO</vt:lpstr>
      <vt:lpstr>61.62INSUMOS MANTTO ELECTRICO</vt:lpstr>
      <vt:lpstr>ELECTRICOS II</vt:lpstr>
      <vt:lpstr>AIRES Y NEVERAS</vt:lpstr>
      <vt:lpstr>EQUIPOS MEDICOS </vt:lpstr>
      <vt:lpstr>MUEBLES-ENSERES</vt:lpstr>
      <vt:lpstr>EXTINTORES (2)</vt:lpstr>
      <vt:lpstr>70.71 </vt:lpstr>
      <vt:lpstr>72.73</vt:lpstr>
      <vt:lpstr>74.75</vt:lpstr>
      <vt:lpstr>76</vt:lpstr>
      <vt:lpstr>77</vt:lpstr>
      <vt:lpstr>78.79</vt:lpstr>
      <vt:lpstr>80</vt:lpstr>
      <vt:lpstr>81</vt:lpstr>
      <vt:lpstr>82</vt:lpstr>
      <vt:lpstr>83</vt:lpstr>
      <vt:lpstr>84</vt:lpstr>
      <vt:lpstr>MANT. GRAL M.O</vt:lpstr>
      <vt:lpstr>MTTO M.O</vt:lpstr>
      <vt:lpstr>ELECTRICOS M.O </vt:lpstr>
      <vt:lpstr>ELECTRICOS M.O II </vt:lpstr>
      <vt:lpstr>AIRES Y NEVERAS M.O</vt:lpstr>
      <vt:lpstr>EQUIPOS MEDICOS  M.O</vt:lpstr>
      <vt:lpstr>MUEBLES-ENSERES M.O</vt:lpstr>
      <vt:lpstr>EXTINTORES M.O</vt:lpstr>
      <vt:lpstr>70.71  (2)</vt:lpstr>
      <vt:lpstr>72.73 (2)</vt:lpstr>
      <vt:lpstr>74.75 (2)</vt:lpstr>
      <vt:lpstr>76 (2)</vt:lpstr>
      <vt:lpstr>77 (2)</vt:lpstr>
      <vt:lpstr>78.79 (2)</vt:lpstr>
      <vt:lpstr>80 (2)</vt:lpstr>
      <vt:lpstr>81 (2)</vt:lpstr>
      <vt:lpstr>82 (2)</vt:lpstr>
      <vt:lpstr>83 (2)</vt:lpstr>
      <vt:lpstr>84 (2)</vt:lpstr>
      <vt:lpstr>RESUMEN </vt:lpstr>
      <vt:lpstr>RESUMEN</vt:lpstr>
      <vt:lpstr>114 DOTACION</vt:lpstr>
      <vt:lpstr>116. RESUMEN</vt:lpstr>
      <vt:lpstr>INSUMOS GRAL</vt:lpstr>
      <vt:lpstr>117.118.119.ICAMENTOS URGENCIAS</vt:lpstr>
      <vt:lpstr>120.121.122</vt:lpstr>
      <vt:lpstr>123.124</vt:lpstr>
      <vt:lpstr>INSUMOS LABORATORIO</vt:lpstr>
      <vt:lpstr>INSUMOS QUIMICA LAB</vt:lpstr>
      <vt:lpstr>HEMATOLOGIA</vt:lpstr>
      <vt:lpstr>ESTERILIZANTES</vt:lpstr>
      <vt:lpstr>VACUNACION</vt:lpstr>
      <vt:lpstr>Hoja40</vt:lpstr>
      <vt:lpstr>CORRECCION EQUIPOS MEDICOS</vt:lpstr>
    </vt:vector>
  </TitlesOfParts>
  <Company>Autorizado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fabio</cp:lastModifiedBy>
  <cp:lastPrinted>2014-11-26T02:53:12Z</cp:lastPrinted>
  <dcterms:created xsi:type="dcterms:W3CDTF">2013-12-05T16:17:45Z</dcterms:created>
  <dcterms:modified xsi:type="dcterms:W3CDTF">2014-11-27T16:42:22Z</dcterms:modified>
</cp:coreProperties>
</file>